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 tabRatio="886" activeTab="12"/>
  </bookViews>
  <sheets>
    <sheet name="Papel" sheetId="1" r:id="rId1"/>
    <sheet name="Descartáveis" sheetId="2" r:id="rId2"/>
    <sheet name="Água Engarrafada" sheetId="3" r:id="rId3"/>
    <sheet name="Impressões" sheetId="4" r:id="rId4"/>
    <sheet name="Energia" sheetId="5" r:id="rId5"/>
    <sheet name="Água" sheetId="6" r:id="rId6"/>
    <sheet name="Resíduos" sheetId="7" r:id="rId7"/>
    <sheet name="Qualidade de Vida" sheetId="8" r:id="rId8"/>
    <sheet name="Telefonia" sheetId="9" r:id="rId9"/>
    <sheet name="Vigilância" sheetId="10" r:id="rId10"/>
    <sheet name="Limpeza" sheetId="11" r:id="rId11"/>
    <sheet name="Reformas" sheetId="12" r:id="rId12"/>
    <sheet name="Veículos" sheetId="13" r:id="rId13"/>
    <sheet name="Sensibilização" sheetId="14" r:id="rId14"/>
    <sheet name="Indicadores - Mensais" sheetId="15" r:id="rId15"/>
    <sheet name="Indicadores - Semestrais" sheetId="16" r:id="rId16"/>
    <sheet name="Indicadores - Anuais" sheetId="17" r:id="rId17"/>
    <sheet name="Lista de Indicadores" sheetId="18" r:id="rId18"/>
  </sheets>
  <calcPr calcId="125725" iterateDelta="1E-4"/>
  <customWorkbookViews>
    <customWorkbookView name="to20121 - Modo de exibição pessoal" guid="{DFED14A5-FC7F-4CB0-A970-C00E731629C6}" mergeInterval="0" personalView="1" maximized="1" xWindow="1" yWindow="1" windowWidth="1920" windowHeight="850" tabRatio="686" activeSheetId="1"/>
  </customWorkbookViews>
</workbook>
</file>

<file path=xl/calcChain.xml><?xml version="1.0" encoding="utf-8"?>
<calcChain xmlns="http://schemas.openxmlformats.org/spreadsheetml/2006/main">
  <c r="I46" i="13"/>
  <c r="I47" s="1"/>
  <c r="J47"/>
  <c r="J46"/>
  <c r="B18" i="12"/>
  <c r="B17"/>
  <c r="O26" i="9" l="1"/>
  <c r="O25"/>
  <c r="N26"/>
  <c r="N25"/>
  <c r="D21" i="8"/>
  <c r="D20"/>
  <c r="C21"/>
  <c r="C20"/>
  <c r="B21"/>
  <c r="B20"/>
  <c r="M52" i="7"/>
  <c r="M51"/>
  <c r="K52"/>
  <c r="L52"/>
  <c r="L51"/>
  <c r="K51"/>
  <c r="M48"/>
  <c r="M47"/>
  <c r="O48"/>
  <c r="O47"/>
  <c r="N48" l="1"/>
  <c r="N47"/>
  <c r="P29" i="6" l="1"/>
  <c r="P28"/>
  <c r="O29"/>
  <c r="O28"/>
  <c r="M29"/>
  <c r="M28"/>
  <c r="L29"/>
  <c r="L28"/>
  <c r="M53" i="5"/>
  <c r="M52"/>
  <c r="P53"/>
  <c r="P52"/>
  <c r="O53"/>
  <c r="O52"/>
  <c r="J25" i="4"/>
  <c r="I25"/>
  <c r="I24"/>
  <c r="J24"/>
  <c r="I28" i="3" l="1"/>
  <c r="I29" s="1"/>
  <c r="J28"/>
  <c r="J29" s="1"/>
  <c r="J32" i="2"/>
  <c r="J33" s="1"/>
  <c r="I32"/>
  <c r="I33" s="1"/>
  <c r="AD41" i="1"/>
  <c r="AD43" s="1"/>
  <c r="J227" i="15" l="1"/>
  <c r="I227" l="1"/>
  <c r="H227" l="1"/>
  <c r="O41" i="13"/>
  <c r="O38"/>
  <c r="O59" i="5"/>
  <c r="O58"/>
  <c r="E23" i="3"/>
  <c r="B13" i="12" l="1"/>
  <c r="M20" i="5"/>
  <c r="J13" i="6"/>
  <c r="J12"/>
  <c r="K14" i="5"/>
  <c r="L14"/>
  <c r="K20"/>
  <c r="L20"/>
  <c r="F43"/>
  <c r="F42"/>
  <c r="D48"/>
  <c r="H47" i="9"/>
  <c r="D47"/>
  <c r="B47"/>
  <c r="F54" i="5" l="1"/>
  <c r="F41" i="13"/>
  <c r="F40"/>
  <c r="F38"/>
  <c r="O20" i="5"/>
  <c r="N20"/>
  <c r="J20"/>
  <c r="I20"/>
  <c r="H20"/>
  <c r="G20"/>
  <c r="F20"/>
  <c r="E20"/>
  <c r="D20"/>
  <c r="E14"/>
  <c r="D42" s="1"/>
  <c r="F14"/>
  <c r="G14"/>
  <c r="H14"/>
  <c r="I14"/>
  <c r="J14"/>
  <c r="M14"/>
  <c r="N14"/>
  <c r="O14"/>
  <c r="D14"/>
  <c r="O10" i="9"/>
  <c r="D54" i="5" l="1"/>
  <c r="D41" i="13"/>
  <c r="D40"/>
  <c r="D39"/>
  <c r="D38"/>
  <c r="O19" i="7" l="1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18"/>
  <c r="M40" i="13" l="1"/>
  <c r="M39"/>
  <c r="M41"/>
  <c r="M38"/>
  <c r="C35" i="6" l="1"/>
  <c r="C27"/>
  <c r="D58" i="5"/>
  <c r="E58"/>
  <c r="D59"/>
  <c r="E59"/>
  <c r="G58"/>
  <c r="H58"/>
  <c r="I58"/>
  <c r="J58"/>
  <c r="K58"/>
  <c r="L58"/>
  <c r="M58"/>
  <c r="N58"/>
  <c r="G59"/>
  <c r="H59"/>
  <c r="I59"/>
  <c r="J59"/>
  <c r="K59"/>
  <c r="L59"/>
  <c r="M59"/>
  <c r="N59"/>
  <c r="F59"/>
  <c r="F58"/>
  <c r="F55"/>
  <c r="F51"/>
  <c r="F50"/>
  <c r="F49"/>
  <c r="F48"/>
  <c r="F45"/>
  <c r="F44"/>
  <c r="P27"/>
  <c r="P26"/>
  <c r="D38" i="6"/>
  <c r="D37"/>
  <c r="D36"/>
  <c r="D35"/>
  <c r="D30"/>
  <c r="D29"/>
  <c r="D28"/>
  <c r="E27"/>
  <c r="D27"/>
  <c r="C23"/>
  <c r="D23"/>
  <c r="E23"/>
  <c r="F23"/>
  <c r="G23"/>
  <c r="C24"/>
  <c r="D24"/>
  <c r="E24"/>
  <c r="F24"/>
  <c r="G24"/>
  <c r="I24"/>
  <c r="J24"/>
  <c r="K24"/>
  <c r="L24"/>
  <c r="M24"/>
  <c r="N24"/>
  <c r="H24"/>
  <c r="I23"/>
  <c r="J23"/>
  <c r="K23"/>
  <c r="L23"/>
  <c r="M23"/>
  <c r="N23"/>
  <c r="H23"/>
  <c r="O17"/>
  <c r="O16"/>
  <c r="D32" l="1"/>
  <c r="AC13" i="1"/>
  <c r="AC14"/>
  <c r="AC15"/>
  <c r="AC16"/>
  <c r="AC17"/>
  <c r="AC18"/>
  <c r="AC19"/>
  <c r="AC20"/>
  <c r="AC21"/>
  <c r="AC22"/>
  <c r="AC23"/>
  <c r="AC24"/>
  <c r="AC25"/>
  <c r="AC12"/>
  <c r="Z34"/>
  <c r="O40" i="13" l="1"/>
  <c r="O39"/>
  <c r="E38" i="6"/>
  <c r="E37"/>
  <c r="C50" i="9"/>
  <c r="B50"/>
  <c r="D50"/>
  <c r="I47"/>
  <c r="H48"/>
  <c r="L40" i="13"/>
  <c r="L38"/>
  <c r="E29" i="6"/>
  <c r="W45" i="1"/>
  <c r="V45"/>
  <c r="W42"/>
  <c r="V42"/>
  <c r="J38" i="13"/>
  <c r="J41"/>
  <c r="J40"/>
  <c r="J39"/>
  <c r="D43" i="5"/>
  <c r="J50" i="9"/>
  <c r="J49"/>
  <c r="J48"/>
  <c r="J47"/>
  <c r="I50"/>
  <c r="I49"/>
  <c r="I48"/>
  <c r="H50"/>
  <c r="H49"/>
  <c r="D49"/>
  <c r="D48"/>
  <c r="C49"/>
  <c r="C48"/>
  <c r="C47"/>
  <c r="B49"/>
  <c r="B48"/>
  <c r="I52" l="1"/>
  <c r="C52"/>
  <c r="D52"/>
  <c r="B52"/>
  <c r="H52"/>
  <c r="J52"/>
  <c r="E36" i="6"/>
  <c r="E35"/>
  <c r="C38"/>
  <c r="C37"/>
  <c r="C36"/>
  <c r="E30"/>
  <c r="E28"/>
  <c r="C30"/>
  <c r="C29"/>
  <c r="C28"/>
  <c r="E32" l="1"/>
  <c r="E40"/>
  <c r="D40"/>
  <c r="C40"/>
  <c r="C32"/>
  <c r="G55" i="5"/>
  <c r="E55"/>
  <c r="D55"/>
  <c r="G54"/>
  <c r="E54"/>
  <c r="G51"/>
  <c r="G50"/>
  <c r="G49"/>
  <c r="G48"/>
  <c r="G45"/>
  <c r="G44"/>
  <c r="G43"/>
  <c r="G42"/>
  <c r="E51"/>
  <c r="E50"/>
  <c r="E49"/>
  <c r="E48"/>
  <c r="E45"/>
  <c r="E44"/>
  <c r="E43"/>
  <c r="E42"/>
  <c r="D51"/>
  <c r="D50"/>
  <c r="D49"/>
  <c r="D45"/>
  <c r="D44"/>
  <c r="H38" i="13"/>
  <c r="H41"/>
  <c r="G41" l="1"/>
  <c r="G40"/>
  <c r="G39"/>
  <c r="G38"/>
  <c r="E41" l="1"/>
  <c r="I41"/>
  <c r="K41"/>
  <c r="L41"/>
  <c r="N41"/>
  <c r="E38"/>
  <c r="I38"/>
  <c r="K38"/>
  <c r="N38"/>
  <c r="E39"/>
  <c r="F39"/>
  <c r="H39"/>
  <c r="I39"/>
  <c r="K39"/>
  <c r="L39"/>
  <c r="N39"/>
  <c r="E40"/>
  <c r="H40"/>
  <c r="I40"/>
  <c r="K40"/>
  <c r="N40"/>
  <c r="C19" i="4"/>
  <c r="P58" i="5" l="1"/>
  <c r="P59"/>
  <c r="T11" i="1"/>
  <c r="T33"/>
  <c r="AA18"/>
  <c r="Z18"/>
  <c r="AA40"/>
  <c r="Z40"/>
  <c r="AB18" l="1"/>
  <c r="I43" i="9"/>
  <c r="H43"/>
  <c r="I22"/>
  <c r="H22"/>
  <c r="E9" i="16" l="1"/>
  <c r="E10"/>
  <c r="E11"/>
  <c r="E17"/>
  <c r="E18"/>
  <c r="E19"/>
  <c r="D19"/>
  <c r="D18"/>
  <c r="D17"/>
  <c r="D11"/>
  <c r="D10"/>
  <c r="D9"/>
  <c r="H182" i="15"/>
  <c r="G182"/>
  <c r="F182"/>
  <c r="F184"/>
  <c r="G184"/>
  <c r="H184"/>
  <c r="H183"/>
  <c r="G183"/>
  <c r="F183"/>
  <c r="E181"/>
  <c r="D181"/>
  <c r="E201"/>
  <c r="E184"/>
  <c r="D184"/>
  <c r="D183"/>
  <c r="E183"/>
  <c r="P39" i="5"/>
  <c r="P38"/>
  <c r="D42" i="16"/>
  <c r="E42"/>
  <c r="D43"/>
  <c r="E43"/>
  <c r="E41"/>
  <c r="D41"/>
  <c r="D38"/>
  <c r="E38"/>
  <c r="D39"/>
  <c r="E39"/>
  <c r="E37"/>
  <c r="D37"/>
  <c r="D34"/>
  <c r="E34"/>
  <c r="D35"/>
  <c r="E35"/>
  <c r="E33"/>
  <c r="D33"/>
  <c r="D30"/>
  <c r="E30"/>
  <c r="D31"/>
  <c r="E31"/>
  <c r="E29"/>
  <c r="D29"/>
  <c r="D22"/>
  <c r="E22"/>
  <c r="E23"/>
  <c r="D23"/>
  <c r="E21"/>
  <c r="D21"/>
  <c r="E14"/>
  <c r="E15"/>
  <c r="D14"/>
  <c r="D15"/>
  <c r="E13"/>
  <c r="D13"/>
  <c r="E215" i="15"/>
  <c r="F215"/>
  <c r="G215"/>
  <c r="H215"/>
  <c r="I215"/>
  <c r="J215"/>
  <c r="K215"/>
  <c r="L215"/>
  <c r="M215"/>
  <c r="N215"/>
  <c r="O215"/>
  <c r="D215"/>
  <c r="I208"/>
  <c r="J208"/>
  <c r="K208"/>
  <c r="L208"/>
  <c r="M208"/>
  <c r="N208"/>
  <c r="O208"/>
  <c r="F201"/>
  <c r="G201"/>
  <c r="H201"/>
  <c r="I201"/>
  <c r="J201"/>
  <c r="K201"/>
  <c r="L201"/>
  <c r="M201"/>
  <c r="N201"/>
  <c r="O201"/>
  <c r="E216"/>
  <c r="F216"/>
  <c r="G216"/>
  <c r="H216"/>
  <c r="I216"/>
  <c r="J216"/>
  <c r="K216"/>
  <c r="L216"/>
  <c r="M216"/>
  <c r="N216"/>
  <c r="O216"/>
  <c r="E217"/>
  <c r="F217"/>
  <c r="G217"/>
  <c r="H217"/>
  <c r="I217"/>
  <c r="J217"/>
  <c r="K217"/>
  <c r="L217"/>
  <c r="M217"/>
  <c r="N217"/>
  <c r="O217"/>
  <c r="F218"/>
  <c r="G218"/>
  <c r="H218"/>
  <c r="I218"/>
  <c r="J218"/>
  <c r="K218"/>
  <c r="L218"/>
  <c r="M218"/>
  <c r="N218"/>
  <c r="O218"/>
  <c r="E219"/>
  <c r="F219"/>
  <c r="G219"/>
  <c r="H219"/>
  <c r="I219"/>
  <c r="J219"/>
  <c r="K219"/>
  <c r="L219"/>
  <c r="M219"/>
  <c r="N219"/>
  <c r="O219"/>
  <c r="E220"/>
  <c r="F220"/>
  <c r="G220"/>
  <c r="H220"/>
  <c r="I220"/>
  <c r="J220"/>
  <c r="K220"/>
  <c r="L220"/>
  <c r="M220"/>
  <c r="N220"/>
  <c r="O220"/>
  <c r="E221"/>
  <c r="F221"/>
  <c r="G221"/>
  <c r="H221"/>
  <c r="I221"/>
  <c r="J221"/>
  <c r="K221"/>
  <c r="L221"/>
  <c r="M221"/>
  <c r="N221"/>
  <c r="O221"/>
  <c r="D221"/>
  <c r="D220"/>
  <c r="D219"/>
  <c r="D217"/>
  <c r="I209"/>
  <c r="J209"/>
  <c r="K209"/>
  <c r="L209"/>
  <c r="M209"/>
  <c r="N209"/>
  <c r="O209"/>
  <c r="E210"/>
  <c r="F210"/>
  <c r="G210"/>
  <c r="H210"/>
  <c r="I210"/>
  <c r="J210"/>
  <c r="K210"/>
  <c r="L210"/>
  <c r="M210"/>
  <c r="N210"/>
  <c r="O210"/>
  <c r="I211"/>
  <c r="J211"/>
  <c r="K211"/>
  <c r="L211"/>
  <c r="M211"/>
  <c r="N211"/>
  <c r="O211"/>
  <c r="E212"/>
  <c r="F212"/>
  <c r="G212"/>
  <c r="H212"/>
  <c r="I212"/>
  <c r="J212"/>
  <c r="K212"/>
  <c r="L212"/>
  <c r="M212"/>
  <c r="N212"/>
  <c r="O212"/>
  <c r="I213"/>
  <c r="J213"/>
  <c r="K213"/>
  <c r="L213"/>
  <c r="M213"/>
  <c r="N213"/>
  <c r="O213"/>
  <c r="E214"/>
  <c r="F214"/>
  <c r="G214"/>
  <c r="H214"/>
  <c r="I214"/>
  <c r="J214"/>
  <c r="K214"/>
  <c r="L214"/>
  <c r="M214"/>
  <c r="N214"/>
  <c r="O214"/>
  <c r="D214"/>
  <c r="D212"/>
  <c r="D210"/>
  <c r="H204"/>
  <c r="I204"/>
  <c r="J204"/>
  <c r="K204"/>
  <c r="L204"/>
  <c r="M204"/>
  <c r="N204"/>
  <c r="O204"/>
  <c r="E205"/>
  <c r="F205"/>
  <c r="G205"/>
  <c r="H205"/>
  <c r="I205"/>
  <c r="J205"/>
  <c r="K205"/>
  <c r="L205"/>
  <c r="M205"/>
  <c r="N205"/>
  <c r="O205"/>
  <c r="H206"/>
  <c r="I206"/>
  <c r="J206"/>
  <c r="K206"/>
  <c r="L206"/>
  <c r="M206"/>
  <c r="N206"/>
  <c r="O206"/>
  <c r="E207"/>
  <c r="F207"/>
  <c r="G207"/>
  <c r="H207"/>
  <c r="I207"/>
  <c r="J207"/>
  <c r="K207"/>
  <c r="L207"/>
  <c r="M207"/>
  <c r="N207"/>
  <c r="O207"/>
  <c r="E202"/>
  <c r="F202"/>
  <c r="G202"/>
  <c r="H202"/>
  <c r="I202"/>
  <c r="J202"/>
  <c r="K202"/>
  <c r="L202"/>
  <c r="M202"/>
  <c r="N202"/>
  <c r="O202"/>
  <c r="D207"/>
  <c r="D205"/>
  <c r="E203"/>
  <c r="F203"/>
  <c r="G203"/>
  <c r="H203"/>
  <c r="I203"/>
  <c r="J203"/>
  <c r="K203"/>
  <c r="L203"/>
  <c r="M203"/>
  <c r="N203"/>
  <c r="O203"/>
  <c r="D203"/>
  <c r="D199"/>
  <c r="E199"/>
  <c r="F199"/>
  <c r="G199"/>
  <c r="H199"/>
  <c r="I199"/>
  <c r="J199"/>
  <c r="K199"/>
  <c r="L199"/>
  <c r="M199"/>
  <c r="N199"/>
  <c r="O199"/>
  <c r="D200"/>
  <c r="E200"/>
  <c r="F200"/>
  <c r="G200"/>
  <c r="H200"/>
  <c r="I200"/>
  <c r="J200"/>
  <c r="K200"/>
  <c r="L200"/>
  <c r="M200"/>
  <c r="N200"/>
  <c r="O200"/>
  <c r="M197"/>
  <c r="O198"/>
  <c r="N198"/>
  <c r="M198"/>
  <c r="L198"/>
  <c r="K198"/>
  <c r="J198"/>
  <c r="I198"/>
  <c r="H198"/>
  <c r="G198"/>
  <c r="F198"/>
  <c r="E198"/>
  <c r="D198"/>
  <c r="D195"/>
  <c r="E195"/>
  <c r="F195"/>
  <c r="G195"/>
  <c r="H195"/>
  <c r="I195"/>
  <c r="J195"/>
  <c r="K195"/>
  <c r="L195"/>
  <c r="M195"/>
  <c r="N195"/>
  <c r="O195"/>
  <c r="D196"/>
  <c r="E196"/>
  <c r="F196"/>
  <c r="G196"/>
  <c r="H196"/>
  <c r="I196"/>
  <c r="J196"/>
  <c r="K196"/>
  <c r="L196"/>
  <c r="M196"/>
  <c r="N196"/>
  <c r="O196"/>
  <c r="M193"/>
  <c r="O194"/>
  <c r="N194"/>
  <c r="M194"/>
  <c r="L194"/>
  <c r="K194"/>
  <c r="J194"/>
  <c r="I194"/>
  <c r="H194"/>
  <c r="G194"/>
  <c r="F194"/>
  <c r="E194"/>
  <c r="D194"/>
  <c r="D191"/>
  <c r="E191"/>
  <c r="F191"/>
  <c r="G191"/>
  <c r="H191"/>
  <c r="I191"/>
  <c r="J191"/>
  <c r="K191"/>
  <c r="L191"/>
  <c r="M191"/>
  <c r="N191"/>
  <c r="O191"/>
  <c r="D192"/>
  <c r="E192"/>
  <c r="F192"/>
  <c r="G192"/>
  <c r="H192"/>
  <c r="I192"/>
  <c r="J192"/>
  <c r="K192"/>
  <c r="L192"/>
  <c r="M192"/>
  <c r="N192"/>
  <c r="O192"/>
  <c r="M189"/>
  <c r="O190"/>
  <c r="N190"/>
  <c r="M190"/>
  <c r="L190"/>
  <c r="K190"/>
  <c r="J190"/>
  <c r="I190"/>
  <c r="H190"/>
  <c r="G190"/>
  <c r="F190"/>
  <c r="E190"/>
  <c r="D190"/>
  <c r="M185"/>
  <c r="D187"/>
  <c r="E187"/>
  <c r="F187"/>
  <c r="G187"/>
  <c r="H187"/>
  <c r="I187"/>
  <c r="J187"/>
  <c r="K187"/>
  <c r="L187"/>
  <c r="M187"/>
  <c r="N187"/>
  <c r="O187"/>
  <c r="D188"/>
  <c r="E188"/>
  <c r="F188"/>
  <c r="G188"/>
  <c r="H188"/>
  <c r="I188"/>
  <c r="J188"/>
  <c r="K188"/>
  <c r="L188"/>
  <c r="M188"/>
  <c r="N188"/>
  <c r="O188"/>
  <c r="O186"/>
  <c r="N186"/>
  <c r="M186"/>
  <c r="L186"/>
  <c r="K186"/>
  <c r="J186"/>
  <c r="I186"/>
  <c r="H186"/>
  <c r="G186"/>
  <c r="F186"/>
  <c r="E186"/>
  <c r="D186"/>
  <c r="G151"/>
  <c r="O180"/>
  <c r="O179"/>
  <c r="O178"/>
  <c r="O177" s="1"/>
  <c r="O176"/>
  <c r="O175"/>
  <c r="O174"/>
  <c r="O172"/>
  <c r="O171"/>
  <c r="O170"/>
  <c r="O168"/>
  <c r="O167"/>
  <c r="O166"/>
  <c r="O164"/>
  <c r="O163"/>
  <c r="O162"/>
  <c r="O160"/>
  <c r="O159"/>
  <c r="O158"/>
  <c r="O156"/>
  <c r="O155"/>
  <c r="O154"/>
  <c r="O152"/>
  <c r="O151"/>
  <c r="O150"/>
  <c r="O148"/>
  <c r="O147"/>
  <c r="O146"/>
  <c r="E150"/>
  <c r="F150"/>
  <c r="G150"/>
  <c r="H150"/>
  <c r="I150"/>
  <c r="J150"/>
  <c r="K150"/>
  <c r="L150"/>
  <c r="M150"/>
  <c r="N150"/>
  <c r="E151"/>
  <c r="F151"/>
  <c r="H151"/>
  <c r="I151"/>
  <c r="J151"/>
  <c r="K151"/>
  <c r="L151"/>
  <c r="M151"/>
  <c r="N151"/>
  <c r="E152"/>
  <c r="F152"/>
  <c r="G152"/>
  <c r="H152"/>
  <c r="I152"/>
  <c r="J152"/>
  <c r="K152"/>
  <c r="L152"/>
  <c r="M152"/>
  <c r="N152"/>
  <c r="E154"/>
  <c r="F154"/>
  <c r="G154"/>
  <c r="H154"/>
  <c r="I154"/>
  <c r="J154"/>
  <c r="K154"/>
  <c r="L154"/>
  <c r="M154"/>
  <c r="N154"/>
  <c r="E155"/>
  <c r="F155"/>
  <c r="G155"/>
  <c r="H155"/>
  <c r="I155"/>
  <c r="J155"/>
  <c r="K155"/>
  <c r="L155"/>
  <c r="M155"/>
  <c r="N155"/>
  <c r="E156"/>
  <c r="F156"/>
  <c r="G156"/>
  <c r="H156"/>
  <c r="I156"/>
  <c r="J156"/>
  <c r="K156"/>
  <c r="L156"/>
  <c r="M156"/>
  <c r="N156"/>
  <c r="E158"/>
  <c r="F158"/>
  <c r="G158"/>
  <c r="H158"/>
  <c r="I158"/>
  <c r="J158"/>
  <c r="K158"/>
  <c r="L158"/>
  <c r="M158"/>
  <c r="N158"/>
  <c r="E159"/>
  <c r="F159"/>
  <c r="G159"/>
  <c r="H159"/>
  <c r="I159"/>
  <c r="J159"/>
  <c r="K159"/>
  <c r="L159"/>
  <c r="M159"/>
  <c r="N159"/>
  <c r="E160"/>
  <c r="F160"/>
  <c r="G160"/>
  <c r="H160"/>
  <c r="I160"/>
  <c r="J160"/>
  <c r="K160"/>
  <c r="L160"/>
  <c r="M160"/>
  <c r="N160"/>
  <c r="E162"/>
  <c r="F162"/>
  <c r="G162"/>
  <c r="H162"/>
  <c r="I162"/>
  <c r="J162"/>
  <c r="K162"/>
  <c r="L162"/>
  <c r="M162"/>
  <c r="N162"/>
  <c r="E163"/>
  <c r="F163"/>
  <c r="G163"/>
  <c r="H163"/>
  <c r="I163"/>
  <c r="J163"/>
  <c r="K163"/>
  <c r="L163"/>
  <c r="M163"/>
  <c r="N163"/>
  <c r="E164"/>
  <c r="F164"/>
  <c r="G164"/>
  <c r="H164"/>
  <c r="I164"/>
  <c r="J164"/>
  <c r="K164"/>
  <c r="L164"/>
  <c r="M164"/>
  <c r="N164"/>
  <c r="E166"/>
  <c r="F166"/>
  <c r="G166"/>
  <c r="H166"/>
  <c r="I166"/>
  <c r="J166"/>
  <c r="K166"/>
  <c r="L166"/>
  <c r="M166"/>
  <c r="N166"/>
  <c r="E167"/>
  <c r="F167"/>
  <c r="G167"/>
  <c r="H167"/>
  <c r="I167"/>
  <c r="J167"/>
  <c r="K167"/>
  <c r="L167"/>
  <c r="M167"/>
  <c r="N167"/>
  <c r="E168"/>
  <c r="F168"/>
  <c r="G168"/>
  <c r="H168"/>
  <c r="I168"/>
  <c r="J168"/>
  <c r="K168"/>
  <c r="L168"/>
  <c r="M168"/>
  <c r="N168"/>
  <c r="E170"/>
  <c r="F170"/>
  <c r="G170"/>
  <c r="H170"/>
  <c r="I170"/>
  <c r="J170"/>
  <c r="K170"/>
  <c r="L170"/>
  <c r="M170"/>
  <c r="N170"/>
  <c r="E171"/>
  <c r="F171"/>
  <c r="G171"/>
  <c r="H171"/>
  <c r="I171"/>
  <c r="J171"/>
  <c r="K171"/>
  <c r="L171"/>
  <c r="M171"/>
  <c r="N171"/>
  <c r="E172"/>
  <c r="F172"/>
  <c r="G172"/>
  <c r="H172"/>
  <c r="I172"/>
  <c r="J172"/>
  <c r="K172"/>
  <c r="L172"/>
  <c r="M172"/>
  <c r="N172"/>
  <c r="E174"/>
  <c r="F174"/>
  <c r="G174"/>
  <c r="H174"/>
  <c r="I174"/>
  <c r="J174"/>
  <c r="K174"/>
  <c r="L174"/>
  <c r="M174"/>
  <c r="N174"/>
  <c r="E175"/>
  <c r="F175"/>
  <c r="G175"/>
  <c r="H175"/>
  <c r="I175"/>
  <c r="J175"/>
  <c r="K175"/>
  <c r="L175"/>
  <c r="M175"/>
  <c r="N175"/>
  <c r="E176"/>
  <c r="F176"/>
  <c r="G176"/>
  <c r="H176"/>
  <c r="I176"/>
  <c r="J176"/>
  <c r="K176"/>
  <c r="L176"/>
  <c r="M176"/>
  <c r="N176"/>
  <c r="E178"/>
  <c r="F178"/>
  <c r="F177" s="1"/>
  <c r="F181" s="1"/>
  <c r="G178"/>
  <c r="G177" s="1"/>
  <c r="G181" s="1"/>
  <c r="H178"/>
  <c r="H177" s="1"/>
  <c r="H181" s="1"/>
  <c r="I178"/>
  <c r="I177" s="1"/>
  <c r="J178"/>
  <c r="J177" s="1"/>
  <c r="K178"/>
  <c r="K177" s="1"/>
  <c r="L178"/>
  <c r="L177" s="1"/>
  <c r="M178"/>
  <c r="M177" s="1"/>
  <c r="N178"/>
  <c r="N177" s="1"/>
  <c r="E179"/>
  <c r="F179"/>
  <c r="G179"/>
  <c r="H179"/>
  <c r="I179"/>
  <c r="J179"/>
  <c r="K179"/>
  <c r="L179"/>
  <c r="M179"/>
  <c r="N179"/>
  <c r="E180"/>
  <c r="F180"/>
  <c r="G180"/>
  <c r="H180"/>
  <c r="I180"/>
  <c r="J180"/>
  <c r="K180"/>
  <c r="L180"/>
  <c r="M180"/>
  <c r="N180"/>
  <c r="D180"/>
  <c r="D179"/>
  <c r="D178"/>
  <c r="D176"/>
  <c r="D175"/>
  <c r="D174"/>
  <c r="D172"/>
  <c r="D171"/>
  <c r="D170"/>
  <c r="D168"/>
  <c r="D167"/>
  <c r="D166"/>
  <c r="D164"/>
  <c r="D163"/>
  <c r="D162"/>
  <c r="D160"/>
  <c r="D159"/>
  <c r="D158"/>
  <c r="D156"/>
  <c r="D155"/>
  <c r="D154"/>
  <c r="D152"/>
  <c r="D151"/>
  <c r="D150"/>
  <c r="E146"/>
  <c r="F146"/>
  <c r="G146"/>
  <c r="H146"/>
  <c r="I146"/>
  <c r="J146"/>
  <c r="K146"/>
  <c r="L146"/>
  <c r="M146"/>
  <c r="N146"/>
  <c r="E147"/>
  <c r="F147"/>
  <c r="G147"/>
  <c r="H147"/>
  <c r="I147"/>
  <c r="J147"/>
  <c r="K147"/>
  <c r="L147"/>
  <c r="M147"/>
  <c r="N147"/>
  <c r="E148"/>
  <c r="F148"/>
  <c r="G148"/>
  <c r="H148"/>
  <c r="I148"/>
  <c r="J148"/>
  <c r="K148"/>
  <c r="L148"/>
  <c r="M148"/>
  <c r="N148"/>
  <c r="D148"/>
  <c r="D147"/>
  <c r="D146"/>
  <c r="E138"/>
  <c r="E142" s="1"/>
  <c r="F138"/>
  <c r="F142" s="1"/>
  <c r="G138"/>
  <c r="G142" s="1"/>
  <c r="H138"/>
  <c r="H142" s="1"/>
  <c r="I138"/>
  <c r="I142" s="1"/>
  <c r="J138"/>
  <c r="J142" s="1"/>
  <c r="K138"/>
  <c r="K142" s="1"/>
  <c r="L138"/>
  <c r="L142" s="1"/>
  <c r="M138"/>
  <c r="M142" s="1"/>
  <c r="N138"/>
  <c r="N142" s="1"/>
  <c r="O138"/>
  <c r="O142" s="1"/>
  <c r="E139"/>
  <c r="E143" s="1"/>
  <c r="F139"/>
  <c r="F143" s="1"/>
  <c r="G139"/>
  <c r="G143" s="1"/>
  <c r="H139"/>
  <c r="H143" s="1"/>
  <c r="I139"/>
  <c r="I143" s="1"/>
  <c r="J139"/>
  <c r="J143" s="1"/>
  <c r="K139"/>
  <c r="K143" s="1"/>
  <c r="L139"/>
  <c r="L143" s="1"/>
  <c r="M139"/>
  <c r="M143" s="1"/>
  <c r="N139"/>
  <c r="N143" s="1"/>
  <c r="O139"/>
  <c r="O143" s="1"/>
  <c r="E140"/>
  <c r="E144" s="1"/>
  <c r="F140"/>
  <c r="F144" s="1"/>
  <c r="G140"/>
  <c r="G144" s="1"/>
  <c r="H140"/>
  <c r="H144" s="1"/>
  <c r="I140"/>
  <c r="I144" s="1"/>
  <c r="J140"/>
  <c r="J144" s="1"/>
  <c r="K140"/>
  <c r="K144" s="1"/>
  <c r="L140"/>
  <c r="L144" s="1"/>
  <c r="M140"/>
  <c r="M144" s="1"/>
  <c r="N140"/>
  <c r="N144" s="1"/>
  <c r="O140"/>
  <c r="O144" s="1"/>
  <c r="D140"/>
  <c r="D144" s="1"/>
  <c r="D139"/>
  <c r="D143" s="1"/>
  <c r="D138"/>
  <c r="D142" s="1"/>
  <c r="E131"/>
  <c r="E135" s="1"/>
  <c r="F131"/>
  <c r="F135" s="1"/>
  <c r="G131"/>
  <c r="G135" s="1"/>
  <c r="H131"/>
  <c r="H135" s="1"/>
  <c r="I131"/>
  <c r="I135" s="1"/>
  <c r="J131"/>
  <c r="J135" s="1"/>
  <c r="K131"/>
  <c r="K135" s="1"/>
  <c r="L131"/>
  <c r="L135" s="1"/>
  <c r="M131"/>
  <c r="M135" s="1"/>
  <c r="N131"/>
  <c r="N135" s="1"/>
  <c r="O131"/>
  <c r="O135" s="1"/>
  <c r="E132"/>
  <c r="E136" s="1"/>
  <c r="F132"/>
  <c r="F136" s="1"/>
  <c r="G132"/>
  <c r="G136" s="1"/>
  <c r="H132"/>
  <c r="H136" s="1"/>
  <c r="I132"/>
  <c r="I136" s="1"/>
  <c r="J132"/>
  <c r="J136" s="1"/>
  <c r="K132"/>
  <c r="K136" s="1"/>
  <c r="L132"/>
  <c r="L136" s="1"/>
  <c r="M132"/>
  <c r="M136" s="1"/>
  <c r="N132"/>
  <c r="N136" s="1"/>
  <c r="O132"/>
  <c r="O136" s="1"/>
  <c r="D132"/>
  <c r="D136" s="1"/>
  <c r="D131"/>
  <c r="D135" s="1"/>
  <c r="E130"/>
  <c r="E134" s="1"/>
  <c r="F130"/>
  <c r="F134" s="1"/>
  <c r="G130"/>
  <c r="G134" s="1"/>
  <c r="H130"/>
  <c r="H134" s="1"/>
  <c r="I130"/>
  <c r="I134" s="1"/>
  <c r="J130"/>
  <c r="J134" s="1"/>
  <c r="K130"/>
  <c r="K134" s="1"/>
  <c r="L130"/>
  <c r="L134" s="1"/>
  <c r="M130"/>
  <c r="M134" s="1"/>
  <c r="N130"/>
  <c r="N134" s="1"/>
  <c r="O130"/>
  <c r="O134" s="1"/>
  <c r="D130"/>
  <c r="D134" s="1"/>
  <c r="E120"/>
  <c r="F120"/>
  <c r="G120"/>
  <c r="H120"/>
  <c r="I120"/>
  <c r="J120"/>
  <c r="K120"/>
  <c r="L120"/>
  <c r="M120"/>
  <c r="N120"/>
  <c r="O120"/>
  <c r="E121"/>
  <c r="F121"/>
  <c r="G121"/>
  <c r="H121"/>
  <c r="I121"/>
  <c r="J121"/>
  <c r="K121"/>
  <c r="L121"/>
  <c r="M121"/>
  <c r="N121"/>
  <c r="O121"/>
  <c r="D121"/>
  <c r="D120"/>
  <c r="E109"/>
  <c r="E118" s="1"/>
  <c r="F109"/>
  <c r="F118" s="1"/>
  <c r="G109"/>
  <c r="G118" s="1"/>
  <c r="H109"/>
  <c r="H118" s="1"/>
  <c r="I109"/>
  <c r="I118" s="1"/>
  <c r="J109"/>
  <c r="J118" s="1"/>
  <c r="K109"/>
  <c r="K118" s="1"/>
  <c r="L109"/>
  <c r="L118" s="1"/>
  <c r="M109"/>
  <c r="M118" s="1"/>
  <c r="N109"/>
  <c r="N118" s="1"/>
  <c r="O109"/>
  <c r="O118" s="1"/>
  <c r="D109"/>
  <c r="D118" s="1"/>
  <c r="E108"/>
  <c r="E117" s="1"/>
  <c r="F108"/>
  <c r="F117" s="1"/>
  <c r="G108"/>
  <c r="G117" s="1"/>
  <c r="H108"/>
  <c r="H117" s="1"/>
  <c r="I108"/>
  <c r="I117" s="1"/>
  <c r="J108"/>
  <c r="J117" s="1"/>
  <c r="K108"/>
  <c r="K117" s="1"/>
  <c r="L108"/>
  <c r="L117" s="1"/>
  <c r="M108"/>
  <c r="M117" s="1"/>
  <c r="N108"/>
  <c r="N117" s="1"/>
  <c r="O108"/>
  <c r="O117" s="1"/>
  <c r="D108"/>
  <c r="D117" s="1"/>
  <c r="E105"/>
  <c r="E114" s="1"/>
  <c r="F105"/>
  <c r="F114" s="1"/>
  <c r="G105"/>
  <c r="G114" s="1"/>
  <c r="H105"/>
  <c r="H114" s="1"/>
  <c r="I105"/>
  <c r="I114" s="1"/>
  <c r="J105"/>
  <c r="J114" s="1"/>
  <c r="K105"/>
  <c r="K114" s="1"/>
  <c r="L105"/>
  <c r="L114" s="1"/>
  <c r="M105"/>
  <c r="M114" s="1"/>
  <c r="N105"/>
  <c r="N114" s="1"/>
  <c r="O105"/>
  <c r="O114" s="1"/>
  <c r="E106"/>
  <c r="E115" s="1"/>
  <c r="F106"/>
  <c r="F115" s="1"/>
  <c r="G106"/>
  <c r="G115" s="1"/>
  <c r="H106"/>
  <c r="H115" s="1"/>
  <c r="I106"/>
  <c r="I115" s="1"/>
  <c r="J106"/>
  <c r="J115" s="1"/>
  <c r="K106"/>
  <c r="K115" s="1"/>
  <c r="L106"/>
  <c r="L115" s="1"/>
  <c r="M106"/>
  <c r="M115" s="1"/>
  <c r="N106"/>
  <c r="N115" s="1"/>
  <c r="O106"/>
  <c r="O115" s="1"/>
  <c r="E107"/>
  <c r="E116" s="1"/>
  <c r="F107"/>
  <c r="F116" s="1"/>
  <c r="G107"/>
  <c r="G116" s="1"/>
  <c r="H107"/>
  <c r="H116" s="1"/>
  <c r="I107"/>
  <c r="I116" s="1"/>
  <c r="J107"/>
  <c r="J116" s="1"/>
  <c r="K107"/>
  <c r="K116" s="1"/>
  <c r="L107"/>
  <c r="L116" s="1"/>
  <c r="M107"/>
  <c r="M116" s="1"/>
  <c r="N107"/>
  <c r="N116" s="1"/>
  <c r="O107"/>
  <c r="O116" s="1"/>
  <c r="D106"/>
  <c r="D115" s="1"/>
  <c r="D107"/>
  <c r="D116" s="1"/>
  <c r="D105"/>
  <c r="D114" s="1"/>
  <c r="E102"/>
  <c r="E111" s="1"/>
  <c r="F102"/>
  <c r="F111" s="1"/>
  <c r="G102"/>
  <c r="G111" s="1"/>
  <c r="H102"/>
  <c r="H111" s="1"/>
  <c r="I102"/>
  <c r="I111" s="1"/>
  <c r="J102"/>
  <c r="J111" s="1"/>
  <c r="K102"/>
  <c r="K111" s="1"/>
  <c r="L102"/>
  <c r="L111" s="1"/>
  <c r="M102"/>
  <c r="M111" s="1"/>
  <c r="N102"/>
  <c r="N111" s="1"/>
  <c r="O102"/>
  <c r="O111" s="1"/>
  <c r="E103"/>
  <c r="E112" s="1"/>
  <c r="F103"/>
  <c r="F112" s="1"/>
  <c r="G103"/>
  <c r="G112" s="1"/>
  <c r="H103"/>
  <c r="H112" s="1"/>
  <c r="I103"/>
  <c r="I112" s="1"/>
  <c r="J103"/>
  <c r="J112" s="1"/>
  <c r="K103"/>
  <c r="K112" s="1"/>
  <c r="L103"/>
  <c r="L112" s="1"/>
  <c r="M103"/>
  <c r="M112" s="1"/>
  <c r="N103"/>
  <c r="N112" s="1"/>
  <c r="O103"/>
  <c r="O112" s="1"/>
  <c r="E104"/>
  <c r="E113" s="1"/>
  <c r="F104"/>
  <c r="F113" s="1"/>
  <c r="G104"/>
  <c r="G113" s="1"/>
  <c r="H104"/>
  <c r="H113" s="1"/>
  <c r="I104"/>
  <c r="I113" s="1"/>
  <c r="J104"/>
  <c r="J113" s="1"/>
  <c r="K104"/>
  <c r="K113" s="1"/>
  <c r="L104"/>
  <c r="L113" s="1"/>
  <c r="M104"/>
  <c r="M113" s="1"/>
  <c r="N104"/>
  <c r="N113" s="1"/>
  <c r="O104"/>
  <c r="O113" s="1"/>
  <c r="D103"/>
  <c r="D112" s="1"/>
  <c r="D104"/>
  <c r="D102"/>
  <c r="D111" s="1"/>
  <c r="D91"/>
  <c r="D100" s="1"/>
  <c r="E91"/>
  <c r="E100" s="1"/>
  <c r="F91"/>
  <c r="F100" s="1"/>
  <c r="G91"/>
  <c r="G100" s="1"/>
  <c r="H91"/>
  <c r="H100" s="1"/>
  <c r="I91"/>
  <c r="I100" s="1"/>
  <c r="J91"/>
  <c r="J100" s="1"/>
  <c r="K91"/>
  <c r="K100" s="1"/>
  <c r="L91"/>
  <c r="L100" s="1"/>
  <c r="M91"/>
  <c r="M100" s="1"/>
  <c r="N91"/>
  <c r="N100" s="1"/>
  <c r="O91"/>
  <c r="O100" s="1"/>
  <c r="D90"/>
  <c r="D99" s="1"/>
  <c r="E90"/>
  <c r="E99" s="1"/>
  <c r="F90"/>
  <c r="F99" s="1"/>
  <c r="G90"/>
  <c r="G99" s="1"/>
  <c r="H90"/>
  <c r="H99" s="1"/>
  <c r="I90"/>
  <c r="I99" s="1"/>
  <c r="J90"/>
  <c r="J99" s="1"/>
  <c r="K90"/>
  <c r="K99" s="1"/>
  <c r="L90"/>
  <c r="L99" s="1"/>
  <c r="M90"/>
  <c r="M99" s="1"/>
  <c r="N90"/>
  <c r="N99" s="1"/>
  <c r="O90"/>
  <c r="O99" s="1"/>
  <c r="D88"/>
  <c r="D97" s="1"/>
  <c r="E88"/>
  <c r="E97" s="1"/>
  <c r="F88"/>
  <c r="F97" s="1"/>
  <c r="G88"/>
  <c r="G97" s="1"/>
  <c r="H88"/>
  <c r="H97" s="1"/>
  <c r="I88"/>
  <c r="I97" s="1"/>
  <c r="J88"/>
  <c r="J97" s="1"/>
  <c r="K88"/>
  <c r="K97" s="1"/>
  <c r="L88"/>
  <c r="L97" s="1"/>
  <c r="M88"/>
  <c r="M97" s="1"/>
  <c r="N88"/>
  <c r="N97" s="1"/>
  <c r="O88"/>
  <c r="O97" s="1"/>
  <c r="D89"/>
  <c r="D98" s="1"/>
  <c r="E89"/>
  <c r="E98" s="1"/>
  <c r="F89"/>
  <c r="F98" s="1"/>
  <c r="G89"/>
  <c r="G98" s="1"/>
  <c r="H89"/>
  <c r="H98" s="1"/>
  <c r="I89"/>
  <c r="I98" s="1"/>
  <c r="J89"/>
  <c r="J98" s="1"/>
  <c r="K89"/>
  <c r="K98" s="1"/>
  <c r="L89"/>
  <c r="L98" s="1"/>
  <c r="M89"/>
  <c r="M98" s="1"/>
  <c r="N89"/>
  <c r="N98" s="1"/>
  <c r="O89"/>
  <c r="O98" s="1"/>
  <c r="E87"/>
  <c r="E96" s="1"/>
  <c r="F87"/>
  <c r="F96" s="1"/>
  <c r="G87"/>
  <c r="G96" s="1"/>
  <c r="H87"/>
  <c r="H96" s="1"/>
  <c r="I87"/>
  <c r="I96" s="1"/>
  <c r="J87"/>
  <c r="J96" s="1"/>
  <c r="K87"/>
  <c r="K96" s="1"/>
  <c r="L87"/>
  <c r="L96" s="1"/>
  <c r="M87"/>
  <c r="M96" s="1"/>
  <c r="N87"/>
  <c r="N96" s="1"/>
  <c r="O87"/>
  <c r="O96" s="1"/>
  <c r="D87"/>
  <c r="D96" s="1"/>
  <c r="P23" i="5"/>
  <c r="P22"/>
  <c r="P21"/>
  <c r="P20"/>
  <c r="P19"/>
  <c r="P18"/>
  <c r="D85" i="15"/>
  <c r="D94" s="1"/>
  <c r="E85"/>
  <c r="E94" s="1"/>
  <c r="F85"/>
  <c r="F94" s="1"/>
  <c r="G85"/>
  <c r="G94" s="1"/>
  <c r="H85"/>
  <c r="H94" s="1"/>
  <c r="I85"/>
  <c r="I94" s="1"/>
  <c r="J85"/>
  <c r="J94" s="1"/>
  <c r="K85"/>
  <c r="K94" s="1"/>
  <c r="L85"/>
  <c r="L94" s="1"/>
  <c r="M85"/>
  <c r="M94" s="1"/>
  <c r="N85"/>
  <c r="N94" s="1"/>
  <c r="O85"/>
  <c r="O94" s="1"/>
  <c r="D86"/>
  <c r="E86"/>
  <c r="E95" s="1"/>
  <c r="F86"/>
  <c r="F95" s="1"/>
  <c r="G86"/>
  <c r="G95" s="1"/>
  <c r="H86"/>
  <c r="H95" s="1"/>
  <c r="I86"/>
  <c r="I95" s="1"/>
  <c r="J86"/>
  <c r="J95" s="1"/>
  <c r="K86"/>
  <c r="K95" s="1"/>
  <c r="L86"/>
  <c r="L95" s="1"/>
  <c r="M86"/>
  <c r="M95" s="1"/>
  <c r="N86"/>
  <c r="N95" s="1"/>
  <c r="O86"/>
  <c r="O95" s="1"/>
  <c r="E84"/>
  <c r="E93" s="1"/>
  <c r="F84"/>
  <c r="F93" s="1"/>
  <c r="G84"/>
  <c r="G93" s="1"/>
  <c r="H84"/>
  <c r="H93" s="1"/>
  <c r="I84"/>
  <c r="I93" s="1"/>
  <c r="J84"/>
  <c r="J93" s="1"/>
  <c r="K84"/>
  <c r="K93" s="1"/>
  <c r="L84"/>
  <c r="L93" s="1"/>
  <c r="M84"/>
  <c r="M93" s="1"/>
  <c r="N84"/>
  <c r="N93" s="1"/>
  <c r="O84"/>
  <c r="O93" s="1"/>
  <c r="D84"/>
  <c r="D93" s="1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D66"/>
  <c r="E66"/>
  <c r="F66"/>
  <c r="G66"/>
  <c r="H66"/>
  <c r="I66"/>
  <c r="J66"/>
  <c r="K66"/>
  <c r="L66"/>
  <c r="M66"/>
  <c r="N66"/>
  <c r="O66"/>
  <c r="O67"/>
  <c r="N67"/>
  <c r="M67"/>
  <c r="L67"/>
  <c r="K67"/>
  <c r="J67"/>
  <c r="I67"/>
  <c r="H67"/>
  <c r="G67"/>
  <c r="F67"/>
  <c r="E67"/>
  <c r="D67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1"/>
  <c r="E51"/>
  <c r="F51"/>
  <c r="G51"/>
  <c r="H51"/>
  <c r="I51"/>
  <c r="J51"/>
  <c r="K51"/>
  <c r="L51"/>
  <c r="M51"/>
  <c r="N51"/>
  <c r="O51"/>
  <c r="O52"/>
  <c r="N52"/>
  <c r="M52"/>
  <c r="L52"/>
  <c r="K52"/>
  <c r="J52"/>
  <c r="I52"/>
  <c r="H52"/>
  <c r="G52"/>
  <c r="F52"/>
  <c r="E52"/>
  <c r="D52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E10"/>
  <c r="F10"/>
  <c r="G10"/>
  <c r="H10"/>
  <c r="I10"/>
  <c r="J10"/>
  <c r="K10"/>
  <c r="L10"/>
  <c r="M10"/>
  <c r="N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L12"/>
  <c r="M12"/>
  <c r="N12"/>
  <c r="O12"/>
  <c r="E13"/>
  <c r="F13"/>
  <c r="G13"/>
  <c r="H13"/>
  <c r="I13"/>
  <c r="J13"/>
  <c r="K13"/>
  <c r="L13"/>
  <c r="M13"/>
  <c r="N13"/>
  <c r="O13"/>
  <c r="E14"/>
  <c r="F14"/>
  <c r="G14"/>
  <c r="H14"/>
  <c r="I14"/>
  <c r="J14"/>
  <c r="K14"/>
  <c r="L14"/>
  <c r="M14"/>
  <c r="N14"/>
  <c r="O14"/>
  <c r="E15"/>
  <c r="F15"/>
  <c r="G15"/>
  <c r="H15"/>
  <c r="I15"/>
  <c r="J15"/>
  <c r="K15"/>
  <c r="L15"/>
  <c r="M15"/>
  <c r="N15"/>
  <c r="O15"/>
  <c r="E16"/>
  <c r="F16"/>
  <c r="G16"/>
  <c r="H16"/>
  <c r="I16"/>
  <c r="J16"/>
  <c r="K16"/>
  <c r="L16"/>
  <c r="M16"/>
  <c r="N16"/>
  <c r="O16"/>
  <c r="E18"/>
  <c r="F18"/>
  <c r="G18"/>
  <c r="H18"/>
  <c r="I18"/>
  <c r="J18"/>
  <c r="K18"/>
  <c r="L18"/>
  <c r="M18"/>
  <c r="N18"/>
  <c r="O18"/>
  <c r="E19"/>
  <c r="F19"/>
  <c r="G19"/>
  <c r="H19"/>
  <c r="I19"/>
  <c r="J19"/>
  <c r="K19"/>
  <c r="L19"/>
  <c r="M19"/>
  <c r="N19"/>
  <c r="O19"/>
  <c r="E21"/>
  <c r="F21"/>
  <c r="G21"/>
  <c r="H21"/>
  <c r="I21"/>
  <c r="J21"/>
  <c r="K21"/>
  <c r="L21"/>
  <c r="M21"/>
  <c r="N21"/>
  <c r="O21"/>
  <c r="E22"/>
  <c r="F22"/>
  <c r="G22"/>
  <c r="H22"/>
  <c r="I22"/>
  <c r="J22"/>
  <c r="K22"/>
  <c r="L22"/>
  <c r="M22"/>
  <c r="N22"/>
  <c r="O22"/>
  <c r="D10"/>
  <c r="D11"/>
  <c r="D12"/>
  <c r="D13"/>
  <c r="D14"/>
  <c r="D15"/>
  <c r="D16"/>
  <c r="D18"/>
  <c r="D19"/>
  <c r="D21"/>
  <c r="D22"/>
  <c r="P37" i="13"/>
  <c r="P36"/>
  <c r="P35"/>
  <c r="P34"/>
  <c r="P33"/>
  <c r="P32"/>
  <c r="P31"/>
  <c r="P30"/>
  <c r="P29"/>
  <c r="P28"/>
  <c r="P27"/>
  <c r="P26"/>
  <c r="P25"/>
  <c r="P24"/>
  <c r="P23"/>
  <c r="P22"/>
  <c r="P21"/>
  <c r="P20"/>
  <c r="P12"/>
  <c r="P13"/>
  <c r="P14"/>
  <c r="P15"/>
  <c r="P16"/>
  <c r="P17"/>
  <c r="P18"/>
  <c r="P19"/>
  <c r="P11"/>
  <c r="O13" i="6"/>
  <c r="O14"/>
  <c r="O15"/>
  <c r="O18"/>
  <c r="O19"/>
  <c r="O12"/>
  <c r="P29" i="5"/>
  <c r="P28"/>
  <c r="P25"/>
  <c r="P24"/>
  <c r="P14"/>
  <c r="P13"/>
  <c r="E25" i="3"/>
  <c r="D25"/>
  <c r="C25"/>
  <c r="B25"/>
  <c r="G24"/>
  <c r="F24"/>
  <c r="G23"/>
  <c r="F23"/>
  <c r="G22"/>
  <c r="F22"/>
  <c r="E14"/>
  <c r="D14"/>
  <c r="C14"/>
  <c r="B14"/>
  <c r="G13"/>
  <c r="F13"/>
  <c r="G12"/>
  <c r="F12"/>
  <c r="G11"/>
  <c r="F11"/>
  <c r="F21" i="2"/>
  <c r="B24"/>
  <c r="D16" i="16" s="1"/>
  <c r="E24" i="2"/>
  <c r="E20" i="16" s="1"/>
  <c r="D24" i="2"/>
  <c r="E16" i="16" s="1"/>
  <c r="C24" i="2"/>
  <c r="D20" i="16" s="1"/>
  <c r="G23" i="2"/>
  <c r="F23"/>
  <c r="G22"/>
  <c r="F22"/>
  <c r="G21"/>
  <c r="F12"/>
  <c r="G12"/>
  <c r="F13"/>
  <c r="G13"/>
  <c r="G11"/>
  <c r="F11"/>
  <c r="E14"/>
  <c r="E12" i="16" s="1"/>
  <c r="D14" i="2"/>
  <c r="E8" i="16" s="1"/>
  <c r="C14" i="2"/>
  <c r="C30" s="1"/>
  <c r="B14"/>
  <c r="B30" s="1"/>
  <c r="P37" i="5"/>
  <c r="P36"/>
  <c r="P15"/>
  <c r="P16"/>
  <c r="P17"/>
  <c r="P12"/>
  <c r="E76" i="15" l="1"/>
  <c r="M76"/>
  <c r="J119"/>
  <c r="K119"/>
  <c r="D75"/>
  <c r="N76"/>
  <c r="L76"/>
  <c r="K76"/>
  <c r="J76"/>
  <c r="I76"/>
  <c r="H119"/>
  <c r="O76"/>
  <c r="G119"/>
  <c r="F119"/>
  <c r="E119"/>
  <c r="F76"/>
  <c r="D119"/>
  <c r="P41" i="13"/>
  <c r="O24" i="6"/>
  <c r="D25" i="16"/>
  <c r="O23" i="6"/>
  <c r="P39" i="13"/>
  <c r="P38"/>
  <c r="P40"/>
  <c r="O119" i="15"/>
  <c r="E25" i="16"/>
  <c r="N119" i="15"/>
  <c r="M119"/>
  <c r="L119"/>
  <c r="I119"/>
  <c r="F25" i="3"/>
  <c r="D27" i="16"/>
  <c r="D12"/>
  <c r="D24" s="1"/>
  <c r="D8"/>
  <c r="H76" i="15"/>
  <c r="G76"/>
  <c r="D26" i="16"/>
  <c r="E24"/>
  <c r="D28"/>
  <c r="D32"/>
  <c r="E27"/>
  <c r="E26"/>
  <c r="E28"/>
  <c r="D40"/>
  <c r="E40"/>
  <c r="D36"/>
  <c r="E36"/>
  <c r="E32"/>
  <c r="O173" i="15"/>
  <c r="O153"/>
  <c r="O149"/>
  <c r="O169"/>
  <c r="L165"/>
  <c r="O157"/>
  <c r="L173"/>
  <c r="K182"/>
  <c r="O184"/>
  <c r="O145"/>
  <c r="I145"/>
  <c r="O165"/>
  <c r="O183"/>
  <c r="O161"/>
  <c r="O182"/>
  <c r="N173"/>
  <c r="K183"/>
  <c r="N182"/>
  <c r="M183"/>
  <c r="L161"/>
  <c r="I153"/>
  <c r="K153"/>
  <c r="L149"/>
  <c r="K145"/>
  <c r="L145"/>
  <c r="K173"/>
  <c r="I169"/>
  <c r="L157"/>
  <c r="K149"/>
  <c r="L183"/>
  <c r="N161"/>
  <c r="I182"/>
  <c r="J184"/>
  <c r="I157"/>
  <c r="J145"/>
  <c r="M184"/>
  <c r="I183"/>
  <c r="M149"/>
  <c r="N145"/>
  <c r="I184"/>
  <c r="I161"/>
  <c r="M145"/>
  <c r="K184"/>
  <c r="J169"/>
  <c r="L153"/>
  <c r="N149"/>
  <c r="I173"/>
  <c r="K169"/>
  <c r="M165"/>
  <c r="J157"/>
  <c r="J183"/>
  <c r="M153"/>
  <c r="L169"/>
  <c r="K165"/>
  <c r="N165"/>
  <c r="N153"/>
  <c r="I149"/>
  <c r="N184"/>
  <c r="J173"/>
  <c r="M169"/>
  <c r="J161"/>
  <c r="N183"/>
  <c r="N169"/>
  <c r="K161"/>
  <c r="M157"/>
  <c r="J149"/>
  <c r="L184"/>
  <c r="K157"/>
  <c r="N157"/>
  <c r="M173"/>
  <c r="J165"/>
  <c r="M161"/>
  <c r="J153"/>
  <c r="J182"/>
  <c r="L182"/>
  <c r="M182"/>
  <c r="H129"/>
  <c r="H133" s="1"/>
  <c r="K129"/>
  <c r="K133" s="1"/>
  <c r="N129"/>
  <c r="N133" s="1"/>
  <c r="F129"/>
  <c r="F133" s="1"/>
  <c r="M129"/>
  <c r="M133" s="1"/>
  <c r="E129"/>
  <c r="E133" s="1"/>
  <c r="N82"/>
  <c r="G129"/>
  <c r="G133" s="1"/>
  <c r="O129"/>
  <c r="O133" s="1"/>
  <c r="L137"/>
  <c r="L141" s="1"/>
  <c r="O137"/>
  <c r="O141" s="1"/>
  <c r="I129"/>
  <c r="I133" s="1"/>
  <c r="D137"/>
  <c r="D141" s="1"/>
  <c r="K137"/>
  <c r="K141" s="1"/>
  <c r="N137"/>
  <c r="N141" s="1"/>
  <c r="F137"/>
  <c r="F141" s="1"/>
  <c r="J129"/>
  <c r="J133" s="1"/>
  <c r="H137"/>
  <c r="H141" s="1"/>
  <c r="L129"/>
  <c r="L133" s="1"/>
  <c r="J137"/>
  <c r="J141" s="1"/>
  <c r="G137"/>
  <c r="G141" s="1"/>
  <c r="I137"/>
  <c r="I141" s="1"/>
  <c r="M137"/>
  <c r="M141" s="1"/>
  <c r="E137"/>
  <c r="E141" s="1"/>
  <c r="D129"/>
  <c r="D133" s="1"/>
  <c r="N83"/>
  <c r="N92" s="1"/>
  <c r="F83"/>
  <c r="F92" s="1"/>
  <c r="F82"/>
  <c r="K83"/>
  <c r="K92" s="1"/>
  <c r="D101"/>
  <c r="D110" s="1"/>
  <c r="G83"/>
  <c r="G92" s="1"/>
  <c r="K75"/>
  <c r="M101"/>
  <c r="M110" s="1"/>
  <c r="E101"/>
  <c r="E110" s="1"/>
  <c r="N101"/>
  <c r="N110" s="1"/>
  <c r="J101"/>
  <c r="J110" s="1"/>
  <c r="O78"/>
  <c r="F101"/>
  <c r="F110" s="1"/>
  <c r="D113"/>
  <c r="D83"/>
  <c r="D92" s="1"/>
  <c r="L101"/>
  <c r="L110" s="1"/>
  <c r="K101"/>
  <c r="K110" s="1"/>
  <c r="I101"/>
  <c r="I110" s="1"/>
  <c r="H101"/>
  <c r="H110" s="1"/>
  <c r="G101"/>
  <c r="G110" s="1"/>
  <c r="O101"/>
  <c r="O110" s="1"/>
  <c r="J75"/>
  <c r="N74"/>
  <c r="F74"/>
  <c r="J81"/>
  <c r="J73"/>
  <c r="I83"/>
  <c r="I92" s="1"/>
  <c r="J83"/>
  <c r="J92" s="1"/>
  <c r="L83"/>
  <c r="L92" s="1"/>
  <c r="M83"/>
  <c r="M92" s="1"/>
  <c r="E83"/>
  <c r="E92" s="1"/>
  <c r="D95"/>
  <c r="O83"/>
  <c r="O92" s="1"/>
  <c r="H83"/>
  <c r="H92" s="1"/>
  <c r="G78"/>
  <c r="O74"/>
  <c r="G74"/>
  <c r="H82"/>
  <c r="F72"/>
  <c r="I82"/>
  <c r="J79"/>
  <c r="O72"/>
  <c r="G72"/>
  <c r="J71"/>
  <c r="K81"/>
  <c r="N72"/>
  <c r="K79"/>
  <c r="N78"/>
  <c r="F78"/>
  <c r="K71"/>
  <c r="N70"/>
  <c r="F70"/>
  <c r="O70"/>
  <c r="G70"/>
  <c r="K73"/>
  <c r="O75"/>
  <c r="G75"/>
  <c r="K74"/>
  <c r="L82"/>
  <c r="O81"/>
  <c r="G81"/>
  <c r="O73"/>
  <c r="G73"/>
  <c r="D82"/>
  <c r="K72"/>
  <c r="O79"/>
  <c r="G79"/>
  <c r="O71"/>
  <c r="G71"/>
  <c r="K78"/>
  <c r="K70"/>
  <c r="M75"/>
  <c r="E75"/>
  <c r="H74"/>
  <c r="L81"/>
  <c r="I74"/>
  <c r="L73"/>
  <c r="O82"/>
  <c r="D79"/>
  <c r="M81"/>
  <c r="E81"/>
  <c r="M73"/>
  <c r="E73"/>
  <c r="H72"/>
  <c r="L79"/>
  <c r="I72"/>
  <c r="L71"/>
  <c r="G82"/>
  <c r="L75"/>
  <c r="D71"/>
  <c r="D81"/>
  <c r="D73"/>
  <c r="M79"/>
  <c r="E79"/>
  <c r="H78"/>
  <c r="M71"/>
  <c r="E71"/>
  <c r="H70"/>
  <c r="I78"/>
  <c r="I70"/>
  <c r="I75"/>
  <c r="M74"/>
  <c r="E74"/>
  <c r="I81"/>
  <c r="I73"/>
  <c r="M72"/>
  <c r="E72"/>
  <c r="I79"/>
  <c r="I71"/>
  <c r="M78"/>
  <c r="E78"/>
  <c r="M70"/>
  <c r="E70"/>
  <c r="J82"/>
  <c r="N75"/>
  <c r="F75"/>
  <c r="J74"/>
  <c r="N81"/>
  <c r="F81"/>
  <c r="N73"/>
  <c r="F73"/>
  <c r="J72"/>
  <c r="M82"/>
  <c r="E82"/>
  <c r="N79"/>
  <c r="F79"/>
  <c r="N71"/>
  <c r="F71"/>
  <c r="J78"/>
  <c r="J70"/>
  <c r="D72"/>
  <c r="K82"/>
  <c r="H75"/>
  <c r="L74"/>
  <c r="D74"/>
  <c r="H81"/>
  <c r="H73"/>
  <c r="L72"/>
  <c r="D76"/>
  <c r="H79"/>
  <c r="H71"/>
  <c r="L78"/>
  <c r="L70"/>
  <c r="D78"/>
  <c r="D70"/>
  <c r="G24" i="2"/>
  <c r="F24"/>
  <c r="F14"/>
  <c r="G25" i="3"/>
  <c r="F14"/>
  <c r="G14"/>
  <c r="G14" i="2"/>
  <c r="M43" i="9"/>
  <c r="O197" i="15" s="1"/>
  <c r="L43" i="9"/>
  <c r="K43"/>
  <c r="N197" i="15" s="1"/>
  <c r="J43" i="9"/>
  <c r="G43"/>
  <c r="F43"/>
  <c r="E43"/>
  <c r="K197" i="15" s="1"/>
  <c r="D43" i="9"/>
  <c r="C43"/>
  <c r="B43"/>
  <c r="O42"/>
  <c r="N42"/>
  <c r="O41"/>
  <c r="N41"/>
  <c r="O40"/>
  <c r="N40"/>
  <c r="M35"/>
  <c r="I197" i="15" s="1"/>
  <c r="L35" i="9"/>
  <c r="K35"/>
  <c r="J35"/>
  <c r="I35"/>
  <c r="H35"/>
  <c r="G35"/>
  <c r="F35"/>
  <c r="E35"/>
  <c r="D35"/>
  <c r="C35"/>
  <c r="B35"/>
  <c r="M22"/>
  <c r="O193" i="15" s="1"/>
  <c r="L22" i="9"/>
  <c r="K22"/>
  <c r="J22"/>
  <c r="G22"/>
  <c r="F22"/>
  <c r="E22"/>
  <c r="K193" i="15" s="1"/>
  <c r="D22" i="9"/>
  <c r="C22"/>
  <c r="B22"/>
  <c r="M14"/>
  <c r="I193" i="15" s="1"/>
  <c r="L14" i="9"/>
  <c r="K14"/>
  <c r="J14"/>
  <c r="I14"/>
  <c r="H14"/>
  <c r="G14"/>
  <c r="F14"/>
  <c r="E14"/>
  <c r="D14"/>
  <c r="N19"/>
  <c r="O19"/>
  <c r="B14" i="14"/>
  <c r="D15" i="11"/>
  <c r="C15"/>
  <c r="B15"/>
  <c r="D14" i="10"/>
  <c r="C14"/>
  <c r="B14"/>
  <c r="N21" i="9"/>
  <c r="N20"/>
  <c r="O21"/>
  <c r="O20"/>
  <c r="C14"/>
  <c r="B14"/>
  <c r="E91" i="16"/>
  <c r="D91"/>
  <c r="E87"/>
  <c r="D87"/>
  <c r="E83"/>
  <c r="D83"/>
  <c r="E79"/>
  <c r="D79"/>
  <c r="E75"/>
  <c r="D75"/>
  <c r="E71"/>
  <c r="D71"/>
  <c r="E67"/>
  <c r="D67"/>
  <c r="E63"/>
  <c r="D63"/>
  <c r="E59"/>
  <c r="D59"/>
  <c r="E90"/>
  <c r="D90"/>
  <c r="E86"/>
  <c r="D86"/>
  <c r="E82"/>
  <c r="D82"/>
  <c r="E78"/>
  <c r="D78"/>
  <c r="E74"/>
  <c r="D74"/>
  <c r="E70"/>
  <c r="D70"/>
  <c r="E66"/>
  <c r="D66"/>
  <c r="E62"/>
  <c r="D62"/>
  <c r="E58"/>
  <c r="D58"/>
  <c r="E89"/>
  <c r="E85"/>
  <c r="E81"/>
  <c r="E77"/>
  <c r="E73"/>
  <c r="E69"/>
  <c r="E65"/>
  <c r="E61"/>
  <c r="E57"/>
  <c r="D89"/>
  <c r="D65"/>
  <c r="D69"/>
  <c r="D73"/>
  <c r="D77"/>
  <c r="D81"/>
  <c r="D85"/>
  <c r="D61"/>
  <c r="D57"/>
  <c r="B53" i="4"/>
  <c r="D64"/>
  <c r="D61"/>
  <c r="D53"/>
  <c r="C64"/>
  <c r="C61"/>
  <c r="C53"/>
  <c r="B64"/>
  <c r="B61"/>
  <c r="C44"/>
  <c r="B44"/>
  <c r="C43"/>
  <c r="B43"/>
  <c r="C41"/>
  <c r="B41"/>
  <c r="C40"/>
  <c r="B40"/>
  <c r="B39" s="1"/>
  <c r="B33"/>
  <c r="C33"/>
  <c r="B34"/>
  <c r="C34"/>
  <c r="B35"/>
  <c r="C35"/>
  <c r="B36"/>
  <c r="C36"/>
  <c r="B37"/>
  <c r="C37"/>
  <c r="B38"/>
  <c r="C38"/>
  <c r="C32"/>
  <c r="C31" s="1"/>
  <c r="B32"/>
  <c r="G24"/>
  <c r="F24"/>
  <c r="G23"/>
  <c r="F23"/>
  <c r="E22"/>
  <c r="E51" i="16" s="1"/>
  <c r="D22" i="4"/>
  <c r="C22"/>
  <c r="D51" i="16" s="1"/>
  <c r="B22" i="4"/>
  <c r="G21"/>
  <c r="F21"/>
  <c r="G20"/>
  <c r="F20"/>
  <c r="E19"/>
  <c r="E50" i="16" s="1"/>
  <c r="D19" i="4"/>
  <c r="D50" i="16"/>
  <c r="B19" i="4"/>
  <c r="G18"/>
  <c r="F18"/>
  <c r="G17"/>
  <c r="F17"/>
  <c r="G16"/>
  <c r="F16"/>
  <c r="G15"/>
  <c r="F15"/>
  <c r="G14"/>
  <c r="F14"/>
  <c r="G13"/>
  <c r="F13"/>
  <c r="G12"/>
  <c r="F12"/>
  <c r="E11"/>
  <c r="E49" i="16" s="1"/>
  <c r="D11" i="4"/>
  <c r="C11"/>
  <c r="D49" i="16" s="1"/>
  <c r="B11" i="4"/>
  <c r="AA34" i="1"/>
  <c r="Z35"/>
  <c r="AA35"/>
  <c r="AA47"/>
  <c r="Z47"/>
  <c r="AA46"/>
  <c r="Z46"/>
  <c r="AA44"/>
  <c r="Z44"/>
  <c r="AA43"/>
  <c r="Z43"/>
  <c r="AA41"/>
  <c r="Z41"/>
  <c r="AA39"/>
  <c r="Z39"/>
  <c r="AA38"/>
  <c r="Z38"/>
  <c r="AA37"/>
  <c r="Z37"/>
  <c r="AA36"/>
  <c r="Z36"/>
  <c r="AA25"/>
  <c r="Z25"/>
  <c r="AA24"/>
  <c r="Z24"/>
  <c r="AA22"/>
  <c r="Z22"/>
  <c r="AA21"/>
  <c r="Z21"/>
  <c r="Z13"/>
  <c r="AA13"/>
  <c r="Z14"/>
  <c r="AA14"/>
  <c r="Z15"/>
  <c r="AA15"/>
  <c r="Z16"/>
  <c r="AA16"/>
  <c r="Z17"/>
  <c r="AA17"/>
  <c r="Z19"/>
  <c r="AA19"/>
  <c r="AA12"/>
  <c r="Z12"/>
  <c r="AB12" s="1"/>
  <c r="E30" i="2"/>
  <c r="G30" s="1"/>
  <c r="Y45" i="1"/>
  <c r="O65" i="15" s="1"/>
  <c r="X45" i="1"/>
  <c r="O50" i="15" s="1"/>
  <c r="N65"/>
  <c r="N50"/>
  <c r="U45" i="1"/>
  <c r="M65" i="15" s="1"/>
  <c r="T45" i="1"/>
  <c r="M50" i="15" s="1"/>
  <c r="S45" i="1"/>
  <c r="L65" i="15" s="1"/>
  <c r="R45" i="1"/>
  <c r="L50" i="15" s="1"/>
  <c r="Q45" i="1"/>
  <c r="K65" i="15" s="1"/>
  <c r="P45" i="1"/>
  <c r="K50" i="15" s="1"/>
  <c r="O45" i="1"/>
  <c r="J65" i="15" s="1"/>
  <c r="N45" i="1"/>
  <c r="J50" i="15" s="1"/>
  <c r="M45" i="1"/>
  <c r="I65" i="15" s="1"/>
  <c r="L45" i="1"/>
  <c r="I50" i="15" s="1"/>
  <c r="K45" i="1"/>
  <c r="H65" i="15" s="1"/>
  <c r="J45" i="1"/>
  <c r="H50" i="15" s="1"/>
  <c r="I45" i="1"/>
  <c r="G65" i="15" s="1"/>
  <c r="H45" i="1"/>
  <c r="G50" i="15" s="1"/>
  <c r="G45" i="1"/>
  <c r="F65" i="15" s="1"/>
  <c r="F45" i="1"/>
  <c r="F50" i="15" s="1"/>
  <c r="E45" i="1"/>
  <c r="E65" i="15" s="1"/>
  <c r="D45" i="1"/>
  <c r="E50" i="15" s="1"/>
  <c r="C45" i="1"/>
  <c r="D65" i="15" s="1"/>
  <c r="B45" i="1"/>
  <c r="D50" i="15" s="1"/>
  <c r="Y42" i="1"/>
  <c r="O62" i="15" s="1"/>
  <c r="X42" i="1"/>
  <c r="O47" i="15" s="1"/>
  <c r="N62"/>
  <c r="N47"/>
  <c r="U42" i="1"/>
  <c r="M62" i="15" s="1"/>
  <c r="T42" i="1"/>
  <c r="M47" i="15" s="1"/>
  <c r="S42" i="1"/>
  <c r="L62" i="15" s="1"/>
  <c r="R42" i="1"/>
  <c r="L47" i="15" s="1"/>
  <c r="Q42" i="1"/>
  <c r="K62" i="15" s="1"/>
  <c r="P42" i="1"/>
  <c r="K47" i="15" s="1"/>
  <c r="O42" i="1"/>
  <c r="J62" i="15" s="1"/>
  <c r="N42" i="1"/>
  <c r="J47" i="15" s="1"/>
  <c r="M42" i="1"/>
  <c r="I62" i="15" s="1"/>
  <c r="L42" i="1"/>
  <c r="I47" i="15" s="1"/>
  <c r="K42" i="1"/>
  <c r="H62" i="15" s="1"/>
  <c r="J42" i="1"/>
  <c r="H47" i="15" s="1"/>
  <c r="I42" i="1"/>
  <c r="G62" i="15" s="1"/>
  <c r="H42" i="1"/>
  <c r="G47" i="15" s="1"/>
  <c r="G42" i="1"/>
  <c r="F62" i="15" s="1"/>
  <c r="F42" i="1"/>
  <c r="F47" i="15" s="1"/>
  <c r="E42" i="1"/>
  <c r="E62" i="15" s="1"/>
  <c r="D42" i="1"/>
  <c r="E47" i="15" s="1"/>
  <c r="C42" i="1"/>
  <c r="D62" i="15" s="1"/>
  <c r="B42" i="1"/>
  <c r="D47" i="15" s="1"/>
  <c r="Y33" i="1"/>
  <c r="O54" i="15" s="1"/>
  <c r="X33" i="1"/>
  <c r="O39" i="15" s="1"/>
  <c r="W33" i="1"/>
  <c r="N54" i="15" s="1"/>
  <c r="V33" i="1"/>
  <c r="N39" i="15" s="1"/>
  <c r="U33" i="1"/>
  <c r="M54" i="15" s="1"/>
  <c r="M39"/>
  <c r="S33" i="1"/>
  <c r="L54" i="15" s="1"/>
  <c r="R33" i="1"/>
  <c r="L39" i="15" s="1"/>
  <c r="Q33" i="1"/>
  <c r="K54" i="15" s="1"/>
  <c r="P33" i="1"/>
  <c r="K39" i="15" s="1"/>
  <c r="O33" i="1"/>
  <c r="J54" i="15" s="1"/>
  <c r="N33" i="1"/>
  <c r="J39" i="15" s="1"/>
  <c r="M33" i="1"/>
  <c r="I54" i="15" s="1"/>
  <c r="L33" i="1"/>
  <c r="I39" i="15" s="1"/>
  <c r="K33" i="1"/>
  <c r="H54" i="15" s="1"/>
  <c r="J33" i="1"/>
  <c r="H39" i="15" s="1"/>
  <c r="I33" i="1"/>
  <c r="G54" i="15" s="1"/>
  <c r="H33" i="1"/>
  <c r="G39" i="15" s="1"/>
  <c r="G33" i="1"/>
  <c r="F54" i="15" s="1"/>
  <c r="F33" i="1"/>
  <c r="F39" i="15" s="1"/>
  <c r="E33" i="1"/>
  <c r="E54" i="15" s="1"/>
  <c r="D33" i="1"/>
  <c r="C33"/>
  <c r="D54" i="15" s="1"/>
  <c r="B33" i="1"/>
  <c r="D39" i="15" s="1"/>
  <c r="B11" i="1"/>
  <c r="D9" i="15" s="1"/>
  <c r="C23" i="1"/>
  <c r="D35" i="15" s="1"/>
  <c r="D23" i="1"/>
  <c r="E20" i="15" s="1"/>
  <c r="E23" i="1"/>
  <c r="E35" i="15" s="1"/>
  <c r="F23" i="1"/>
  <c r="F20" i="15" s="1"/>
  <c r="G23" i="1"/>
  <c r="F35" i="15" s="1"/>
  <c r="H23" i="1"/>
  <c r="G20" i="15" s="1"/>
  <c r="I23" i="1"/>
  <c r="G35" i="15" s="1"/>
  <c r="J23" i="1"/>
  <c r="H20" i="15" s="1"/>
  <c r="K23" i="1"/>
  <c r="H35" i="15" s="1"/>
  <c r="L23" i="1"/>
  <c r="I20" i="15" s="1"/>
  <c r="M23" i="1"/>
  <c r="I35" i="15" s="1"/>
  <c r="N23" i="1"/>
  <c r="J20" i="15" s="1"/>
  <c r="O23" i="1"/>
  <c r="J35" i="15" s="1"/>
  <c r="P23" i="1"/>
  <c r="K20" i="15" s="1"/>
  <c r="Q23" i="1"/>
  <c r="K35" i="15" s="1"/>
  <c r="R23" i="1"/>
  <c r="L20" i="15" s="1"/>
  <c r="S23" i="1"/>
  <c r="L35" i="15" s="1"/>
  <c r="T23" i="1"/>
  <c r="M20" i="15" s="1"/>
  <c r="U23" i="1"/>
  <c r="M35" i="15" s="1"/>
  <c r="V23" i="1"/>
  <c r="N20" i="15" s="1"/>
  <c r="W23" i="1"/>
  <c r="N35" i="15" s="1"/>
  <c r="X23" i="1"/>
  <c r="O20" i="15" s="1"/>
  <c r="Y23" i="1"/>
  <c r="O35" i="15" s="1"/>
  <c r="B23" i="1"/>
  <c r="D20" i="15" s="1"/>
  <c r="D20" i="1"/>
  <c r="E17" i="15" s="1"/>
  <c r="C20" i="1"/>
  <c r="D32" i="15" s="1"/>
  <c r="E20" i="1"/>
  <c r="E32" i="15" s="1"/>
  <c r="F20" i="1"/>
  <c r="F17" i="15" s="1"/>
  <c r="G20" i="1"/>
  <c r="F32" i="15" s="1"/>
  <c r="H20" i="1"/>
  <c r="G17" i="15" s="1"/>
  <c r="I20" i="1"/>
  <c r="G32" i="15" s="1"/>
  <c r="J20" i="1"/>
  <c r="H17" i="15" s="1"/>
  <c r="K20" i="1"/>
  <c r="H32" i="15" s="1"/>
  <c r="L20" i="1"/>
  <c r="I17" i="15" s="1"/>
  <c r="M20" i="1"/>
  <c r="I32" i="15" s="1"/>
  <c r="N20" i="1"/>
  <c r="J17" i="15" s="1"/>
  <c r="O20" i="1"/>
  <c r="J32" i="15" s="1"/>
  <c r="P20" i="1"/>
  <c r="K17" i="15" s="1"/>
  <c r="Q20" i="1"/>
  <c r="K32" i="15" s="1"/>
  <c r="R20" i="1"/>
  <c r="L17" i="15" s="1"/>
  <c r="S20" i="1"/>
  <c r="L32" i="15" s="1"/>
  <c r="T20" i="1"/>
  <c r="M17" i="15" s="1"/>
  <c r="U20" i="1"/>
  <c r="M32" i="15" s="1"/>
  <c r="V20" i="1"/>
  <c r="N17" i="15" s="1"/>
  <c r="W20" i="1"/>
  <c r="N32" i="15" s="1"/>
  <c r="X20" i="1"/>
  <c r="O17" i="15" s="1"/>
  <c r="Y20" i="1"/>
  <c r="O32" i="15" s="1"/>
  <c r="B20" i="1"/>
  <c r="D17" i="15" s="1"/>
  <c r="C11" i="1"/>
  <c r="D24" i="15" s="1"/>
  <c r="D11" i="1"/>
  <c r="E9" i="15" s="1"/>
  <c r="E11" i="1"/>
  <c r="F11"/>
  <c r="G11"/>
  <c r="H11"/>
  <c r="G9" i="15" s="1"/>
  <c r="I11" i="1"/>
  <c r="G24" i="15" s="1"/>
  <c r="J11" i="1"/>
  <c r="H9" i="15" s="1"/>
  <c r="K11" i="1"/>
  <c r="H24" i="15" s="1"/>
  <c r="L11" i="1"/>
  <c r="I9" i="15" s="1"/>
  <c r="M11" i="1"/>
  <c r="I24" i="15" s="1"/>
  <c r="N11" i="1"/>
  <c r="J9" i="15" s="1"/>
  <c r="O11" i="1"/>
  <c r="J24" i="15" s="1"/>
  <c r="P11" i="1"/>
  <c r="K9" i="15" s="1"/>
  <c r="Q11" i="1"/>
  <c r="K24" i="15" s="1"/>
  <c r="R11" i="1"/>
  <c r="L9" i="15" s="1"/>
  <c r="S11" i="1"/>
  <c r="L24" i="15" s="1"/>
  <c r="M9"/>
  <c r="U11" i="1"/>
  <c r="M24" i="15" s="1"/>
  <c r="V11" i="1"/>
  <c r="N9" i="15" s="1"/>
  <c r="W11" i="1"/>
  <c r="N24" i="15" s="1"/>
  <c r="X11" i="1"/>
  <c r="O9" i="15" s="1"/>
  <c r="Y11" i="1"/>
  <c r="O24" i="15" s="1"/>
  <c r="AB21" i="1" l="1"/>
  <c r="AB24"/>
  <c r="AB25"/>
  <c r="AB22"/>
  <c r="AB17"/>
  <c r="AB16"/>
  <c r="AB13"/>
  <c r="AB15"/>
  <c r="AB14"/>
  <c r="AB19"/>
  <c r="O77" i="15"/>
  <c r="L77"/>
  <c r="L80"/>
  <c r="M80"/>
  <c r="D45" i="16"/>
  <c r="D53"/>
  <c r="E45"/>
  <c r="E53"/>
  <c r="E48"/>
  <c r="E46"/>
  <c r="E54"/>
  <c r="O189" i="15"/>
  <c r="O185"/>
  <c r="O181"/>
  <c r="E47" i="16"/>
  <c r="E44"/>
  <c r="E55"/>
  <c r="N80" i="15"/>
  <c r="O80"/>
  <c r="Y48" i="1"/>
  <c r="X48"/>
  <c r="O38" i="15" s="1"/>
  <c r="O69"/>
  <c r="Y26" i="1"/>
  <c r="X26"/>
  <c r="N189" i="15"/>
  <c r="N193"/>
  <c r="N185"/>
  <c r="N77"/>
  <c r="W48" i="1"/>
  <c r="N69" i="15"/>
  <c r="V48" i="1"/>
  <c r="W26"/>
  <c r="V26"/>
  <c r="M77" i="15"/>
  <c r="M69"/>
  <c r="T48" i="1"/>
  <c r="M38" i="15" s="1"/>
  <c r="M181"/>
  <c r="U48" i="1"/>
  <c r="U26"/>
  <c r="M23" i="15" s="1"/>
  <c r="T26" i="1"/>
  <c r="M8" i="15" s="1"/>
  <c r="L69"/>
  <c r="S48" i="1"/>
  <c r="R48"/>
  <c r="S26"/>
  <c r="R26"/>
  <c r="L197" i="15"/>
  <c r="L189"/>
  <c r="L193"/>
  <c r="L185"/>
  <c r="K80"/>
  <c r="E80" i="16"/>
  <c r="K69" i="15"/>
  <c r="K189"/>
  <c r="K185"/>
  <c r="E94" i="16"/>
  <c r="Q48" i="1"/>
  <c r="K77" i="15"/>
  <c r="P48" i="1"/>
  <c r="Q26"/>
  <c r="P26"/>
  <c r="H77" i="15"/>
  <c r="N181"/>
  <c r="J80"/>
  <c r="K181"/>
  <c r="L181"/>
  <c r="J77"/>
  <c r="E88" i="16"/>
  <c r="E68"/>
  <c r="E84"/>
  <c r="J181" i="15"/>
  <c r="E64" i="16"/>
  <c r="E60"/>
  <c r="E76"/>
  <c r="E56"/>
  <c r="E72"/>
  <c r="E95"/>
  <c r="E93"/>
  <c r="N48" i="1"/>
  <c r="J69" i="15"/>
  <c r="O48" i="1"/>
  <c r="O26"/>
  <c r="N26"/>
  <c r="J189" i="15"/>
  <c r="J197"/>
  <c r="J185"/>
  <c r="J193"/>
  <c r="D48" i="16"/>
  <c r="D46"/>
  <c r="D54"/>
  <c r="I69" i="15"/>
  <c r="I189"/>
  <c r="I185"/>
  <c r="I77"/>
  <c r="I181"/>
  <c r="C67" i="4"/>
  <c r="B42"/>
  <c r="D44" i="16"/>
  <c r="D47"/>
  <c r="D55"/>
  <c r="M48" i="1"/>
  <c r="L48"/>
  <c r="I80" i="15"/>
  <c r="M26" i="1"/>
  <c r="L26"/>
  <c r="I8" i="15" s="1"/>
  <c r="H69"/>
  <c r="H80"/>
  <c r="K48" i="1"/>
  <c r="J48"/>
  <c r="K26"/>
  <c r="J26"/>
  <c r="H197" i="15"/>
  <c r="H189"/>
  <c r="H193"/>
  <c r="H185"/>
  <c r="G69"/>
  <c r="AA42" i="1"/>
  <c r="G77" i="15"/>
  <c r="H26" i="1"/>
  <c r="G8" i="15" s="1"/>
  <c r="G189"/>
  <c r="G197"/>
  <c r="G193"/>
  <c r="G185"/>
  <c r="G80"/>
  <c r="I48" i="1"/>
  <c r="H48"/>
  <c r="I26"/>
  <c r="D84" i="16"/>
  <c r="AA23" i="1"/>
  <c r="F189" i="15"/>
  <c r="F197"/>
  <c r="F193"/>
  <c r="F185"/>
  <c r="F80"/>
  <c r="F77"/>
  <c r="G48" i="1"/>
  <c r="F48"/>
  <c r="F26"/>
  <c r="F9" i="15"/>
  <c r="F69" s="1"/>
  <c r="G26" i="1"/>
  <c r="F24" i="15"/>
  <c r="D80"/>
  <c r="AA45" i="1"/>
  <c r="Z45"/>
  <c r="E80" i="15"/>
  <c r="Z42" i="1"/>
  <c r="D77" i="15"/>
  <c r="E77"/>
  <c r="AA20" i="1"/>
  <c r="Z20"/>
  <c r="D94" i="16"/>
  <c r="D68"/>
  <c r="D60"/>
  <c r="D76"/>
  <c r="E197" i="15"/>
  <c r="E189"/>
  <c r="D197"/>
  <c r="D189"/>
  <c r="O43" i="9"/>
  <c r="N43"/>
  <c r="D185" i="15"/>
  <c r="D193"/>
  <c r="E185"/>
  <c r="E193"/>
  <c r="D72" i="16"/>
  <c r="D88"/>
  <c r="D56"/>
  <c r="D64"/>
  <c r="D80"/>
  <c r="Z23" i="1"/>
  <c r="D93" i="16"/>
  <c r="D48" i="1"/>
  <c r="E39" i="15"/>
  <c r="E69" s="1"/>
  <c r="Z33" i="1"/>
  <c r="AA33"/>
  <c r="D69" i="15"/>
  <c r="E48" i="1"/>
  <c r="E26"/>
  <c r="E24" i="15"/>
  <c r="D26" i="1"/>
  <c r="Z11"/>
  <c r="D31" i="2"/>
  <c r="C31"/>
  <c r="N22" i="9"/>
  <c r="O22"/>
  <c r="B15" i="8"/>
  <c r="D15"/>
  <c r="C15"/>
  <c r="D67" i="4"/>
  <c r="D43"/>
  <c r="D36"/>
  <c r="D40"/>
  <c r="D39" s="1"/>
  <c r="D44"/>
  <c r="B67"/>
  <c r="D41"/>
  <c r="D37"/>
  <c r="D33"/>
  <c r="D38"/>
  <c r="D34"/>
  <c r="D35"/>
  <c r="G19"/>
  <c r="G22"/>
  <c r="F19"/>
  <c r="C42"/>
  <c r="C39"/>
  <c r="D32"/>
  <c r="D31" s="1"/>
  <c r="B31"/>
  <c r="F22"/>
  <c r="G11"/>
  <c r="F11"/>
  <c r="E25"/>
  <c r="D25"/>
  <c r="C25"/>
  <c r="B25"/>
  <c r="AA11" i="1"/>
  <c r="E31" i="2"/>
  <c r="E32" s="1"/>
  <c r="D30"/>
  <c r="F30" s="1"/>
  <c r="B31"/>
  <c r="B32" s="1"/>
  <c r="B48" i="1"/>
  <c r="C48"/>
  <c r="C26"/>
  <c r="B26"/>
  <c r="AB20" l="1"/>
  <c r="AB23"/>
  <c r="B45" i="4"/>
  <c r="Z26" i="1"/>
  <c r="E52" i="16"/>
  <c r="D42" i="4"/>
  <c r="D45" s="1"/>
  <c r="O53" i="15"/>
  <c r="Y55" i="1"/>
  <c r="X55"/>
  <c r="O23" i="15"/>
  <c r="Y54" i="1"/>
  <c r="O8" i="15"/>
  <c r="O68" s="1"/>
  <c r="X54" i="1"/>
  <c r="N53" i="15"/>
  <c r="W55" i="1"/>
  <c r="N38" i="15"/>
  <c r="V55" i="1"/>
  <c r="N23" i="15"/>
  <c r="W54" i="1"/>
  <c r="N8" i="15"/>
  <c r="V54" i="1"/>
  <c r="M68" i="15"/>
  <c r="T55" i="1"/>
  <c r="M53" i="15"/>
  <c r="U55" i="1"/>
  <c r="T54"/>
  <c r="U54"/>
  <c r="L53" i="15"/>
  <c r="S55" i="1"/>
  <c r="L38" i="15"/>
  <c r="R55" i="1"/>
  <c r="L23" i="15"/>
  <c r="S54" i="1"/>
  <c r="L8" i="15"/>
  <c r="R54" i="1"/>
  <c r="K53" i="15"/>
  <c r="Q55" i="1"/>
  <c r="K38" i="15"/>
  <c r="P55" i="1"/>
  <c r="K23" i="15"/>
  <c r="Q54" i="1"/>
  <c r="K8" i="15"/>
  <c r="P54" i="1"/>
  <c r="E92" i="16"/>
  <c r="J38" i="15"/>
  <c r="N55" i="1"/>
  <c r="J53" i="15"/>
  <c r="O55" i="1"/>
  <c r="J23" i="15"/>
  <c r="O54" i="1"/>
  <c r="J8" i="15"/>
  <c r="N54" i="1"/>
  <c r="D52" i="16"/>
  <c r="I53" i="15"/>
  <c r="M55" i="1"/>
  <c r="I38" i="15"/>
  <c r="I68" s="1"/>
  <c r="L55" i="1"/>
  <c r="I23" i="15"/>
  <c r="M54" i="1"/>
  <c r="L54"/>
  <c r="H53" i="15"/>
  <c r="K55" i="1"/>
  <c r="H38" i="15"/>
  <c r="J55" i="1"/>
  <c r="H23" i="15"/>
  <c r="K54" i="1"/>
  <c r="H8" i="15"/>
  <c r="J54" i="1"/>
  <c r="H54"/>
  <c r="G53" i="15"/>
  <c r="I55" i="1"/>
  <c r="G38" i="15"/>
  <c r="G68" s="1"/>
  <c r="H55" i="1"/>
  <c r="AA48"/>
  <c r="G23" i="15"/>
  <c r="I54" i="1"/>
  <c r="F53" i="15"/>
  <c r="G55" i="1"/>
  <c r="F38" i="15"/>
  <c r="F55" i="1"/>
  <c r="AA26"/>
  <c r="F54"/>
  <c r="F8" i="15"/>
  <c r="G54" i="1"/>
  <c r="F23" i="15"/>
  <c r="Z48" i="1"/>
  <c r="D92" i="16"/>
  <c r="B55" i="1"/>
  <c r="D38" i="15"/>
  <c r="C55" i="1"/>
  <c r="D53" i="15"/>
  <c r="D55" i="1"/>
  <c r="E38" i="15"/>
  <c r="E55" i="1"/>
  <c r="E53" i="15"/>
  <c r="C54" i="1"/>
  <c r="D23" i="15"/>
  <c r="B54" i="1"/>
  <c r="D8" i="15"/>
  <c r="E54" i="1"/>
  <c r="E23" i="15"/>
  <c r="D54" i="1"/>
  <c r="E8" i="15"/>
  <c r="D32" i="2"/>
  <c r="G25" i="4"/>
  <c r="C45"/>
  <c r="F25"/>
  <c r="G31" i="2"/>
  <c r="G32" s="1"/>
  <c r="C32"/>
  <c r="F31"/>
  <c r="F32" s="1"/>
  <c r="AB26" i="1" l="1"/>
  <c r="R56"/>
  <c r="B56"/>
  <c r="Y56"/>
  <c r="X56"/>
  <c r="W56"/>
  <c r="V56"/>
  <c r="N68" i="15"/>
  <c r="U56" i="1"/>
  <c r="P56"/>
  <c r="T56"/>
  <c r="L68" i="15"/>
  <c r="S56" i="1"/>
  <c r="Q56"/>
  <c r="K68" i="15"/>
  <c r="N56" i="1"/>
  <c r="O56"/>
  <c r="J68" i="15"/>
  <c r="M56" i="1"/>
  <c r="L56"/>
  <c r="K56"/>
  <c r="J56"/>
  <c r="H68" i="15"/>
  <c r="H56" i="1"/>
  <c r="I56"/>
  <c r="G56"/>
  <c r="C56"/>
  <c r="F56"/>
  <c r="F68" i="15"/>
  <c r="D56" i="1"/>
  <c r="Z55"/>
  <c r="E68" i="15"/>
  <c r="AA55" i="1"/>
  <c r="D68" i="15"/>
  <c r="E56" i="1"/>
  <c r="AA54"/>
  <c r="Z54"/>
  <c r="Z56" l="1"/>
  <c r="AA56"/>
</calcChain>
</file>

<file path=xl/sharedStrings.xml><?xml version="1.0" encoding="utf-8"?>
<sst xmlns="http://schemas.openxmlformats.org/spreadsheetml/2006/main" count="2002" uniqueCount="304">
  <si>
    <t>Plano de Ação Socioambiental</t>
  </si>
  <si>
    <t xml:space="preserve">Indicadores: </t>
  </si>
  <si>
    <t>1. Consumo de papel branco</t>
  </si>
  <si>
    <t>2. Gasto com aquisição de papel branco</t>
  </si>
  <si>
    <t>Unidade</t>
  </si>
  <si>
    <t>Consumo</t>
  </si>
  <si>
    <t>Seção Judiciária do Tocantins</t>
  </si>
  <si>
    <t>Diretoria do Foro</t>
  </si>
  <si>
    <t>Secretaria Administrativa</t>
  </si>
  <si>
    <t>1ª Vara Federal</t>
  </si>
  <si>
    <t>2ª Vara Federal</t>
  </si>
  <si>
    <t>3ª Vara Federal</t>
  </si>
  <si>
    <t>4ª Vara Federal</t>
  </si>
  <si>
    <t>Turma Recursal</t>
  </si>
  <si>
    <t>Subseção Judiciária de Araguaína</t>
  </si>
  <si>
    <t>Subseção Judiciária de Gurupi</t>
  </si>
  <si>
    <t>Vara Única de Gurupi</t>
  </si>
  <si>
    <t>Diretoria da Vara</t>
  </si>
  <si>
    <t>Secretaria da Vara</t>
  </si>
  <si>
    <t>3. Consumo de papel reciclado</t>
  </si>
  <si>
    <t>4. Gasto com aquisição de papel reciclado</t>
  </si>
  <si>
    <t>5. Consumo total de papel branco e reciclado</t>
  </si>
  <si>
    <t>TOTAL GERAL - PAPEL BRANCO</t>
  </si>
  <si>
    <t>TOTAL GERAL - PAPEL RECICLADO</t>
  </si>
  <si>
    <t xml:space="preserve">TOTAL GERAL - PAPEL </t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</si>
  <si>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Papel</t>
    </r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</si>
  <si>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Descartáveis e água mineral engarrafada</t>
    </r>
  </si>
  <si>
    <t>6. Consumo de copos de 200 ml descartáveis</t>
  </si>
  <si>
    <t>7. Gasto com aquisição de copos de 200 ml</t>
  </si>
  <si>
    <t>8. Consumo de copos de 50 ml descartáveis</t>
  </si>
  <si>
    <t>9. Gasto com aquisição de copos de 50 ml</t>
  </si>
  <si>
    <t>10. Gasto total com aquisição de copos descartáveis</t>
  </si>
  <si>
    <t>TOTAL GERAL - COPOS 200 ML</t>
  </si>
  <si>
    <t>TOTAL GERAL - COPOS 50 ML</t>
  </si>
  <si>
    <t>TOTAL GERAL - COPOS DESCART.</t>
  </si>
  <si>
    <t xml:space="preserve">11. Consumo de água envasada em embalagens plásticas (com e sem gás – explicitar o volume em ml ou litro) </t>
  </si>
  <si>
    <t>12. Consumo de garrafões de água de 20 litros</t>
  </si>
  <si>
    <t>13. Gasto com aquisição de água envasada em embalagens plásticas (com e sem gás – explicitar o volume em ml ou litro)</t>
  </si>
  <si>
    <t>14. Gasto com aquisição de garrafões de 20 litros</t>
  </si>
  <si>
    <t>TOTAL GERAL - Água Engarrafada</t>
  </si>
  <si>
    <t>TOTAL GERAL - Garrafões 20 L</t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</si>
  <si>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Impressões e Equipamentos</t>
    </r>
  </si>
  <si>
    <t>15. Impressões de documentos totais</t>
  </si>
  <si>
    <t>16. Equipamentos instalados</t>
  </si>
  <si>
    <t>Equipamentos Instalados</t>
  </si>
  <si>
    <t>Quantidade de Impressões</t>
  </si>
  <si>
    <t>17. Performance dos equipamentos instalados (índice de ociosidade baseada na capacidade máxima de impressão)</t>
  </si>
  <si>
    <t>TOTAL GERAL</t>
  </si>
  <si>
    <t>Performance</t>
  </si>
  <si>
    <t>18. Gasto com aquisições de suprimentos</t>
  </si>
  <si>
    <t>19. Gasto com aquisição de impressoras</t>
  </si>
  <si>
    <t>20. Gasto com contratos de outsourcing de impressão (equipamento + manutenção + impressão por folha + suprimento)</t>
  </si>
  <si>
    <t>Gasto c/ Suprimentos</t>
  </si>
  <si>
    <t>Gasto c/ Aquisição de Impressoras</t>
  </si>
  <si>
    <t>Gasto com Outsourcing</t>
  </si>
  <si>
    <t>21. Consumo de energia elétrica</t>
  </si>
  <si>
    <t>22. Consumo de energia elétrica por área construída</t>
  </si>
  <si>
    <r>
      <rPr>
        <b/>
        <sz val="11"/>
        <color theme="1"/>
        <rFont val="Calibri"/>
        <family val="2"/>
        <scheme val="minor"/>
      </rPr>
      <t>TEMA 2:</t>
    </r>
    <r>
      <rPr>
        <sz val="11"/>
        <color theme="1"/>
        <rFont val="Calibri"/>
        <family val="2"/>
        <scheme val="minor"/>
      </rPr>
      <t xml:space="preserve"> Energia Elétrica</t>
    </r>
  </si>
  <si>
    <t xml:space="preserve">23. Gasto com energia elétrica </t>
  </si>
  <si>
    <t xml:space="preserve">24. Gasto com energia elétrica </t>
  </si>
  <si>
    <t>Fora de Ponta</t>
  </si>
  <si>
    <t>Ponta</t>
  </si>
  <si>
    <t>Consumo (Kwh)</t>
  </si>
  <si>
    <t>25. Adequação do contrato de demanda (fora de ponta)</t>
  </si>
  <si>
    <t>26. Adequação do contrato de demanda (ponta)</t>
  </si>
  <si>
    <t>27. Volume de água consumido</t>
  </si>
  <si>
    <t>28. Volume de água por área construída</t>
  </si>
  <si>
    <t>29. Gasto com água</t>
  </si>
  <si>
    <t>30. Gasto com água por área construída</t>
  </si>
  <si>
    <r>
      <t>Consumo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</si>
  <si>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TEMA 3:</t>
    </r>
    <r>
      <rPr>
        <sz val="11"/>
        <color theme="1"/>
        <rFont val="Calibri"/>
        <family val="2"/>
        <scheme val="minor"/>
      </rPr>
      <t xml:space="preserve"> Água e Esgoto</t>
    </r>
  </si>
  <si>
    <r>
      <rPr>
        <b/>
        <sz val="11"/>
        <color theme="1"/>
        <rFont val="Calibri"/>
        <family val="2"/>
        <scheme val="minor"/>
      </rPr>
      <t>TEMA 4:</t>
    </r>
    <r>
      <rPr>
        <sz val="11"/>
        <color theme="1"/>
        <rFont val="Calibri"/>
        <family val="2"/>
        <scheme val="minor"/>
      </rPr>
      <t xml:space="preserve"> Gestão de Resíduos</t>
    </r>
  </si>
  <si>
    <t>31. Destinação de papel para reciclagem</t>
  </si>
  <si>
    <t>32. Destinação de suprimentos de impressão para reciclagem</t>
  </si>
  <si>
    <t>33. Destinação de plástico para reciclagem</t>
  </si>
  <si>
    <t>34. Destinação de lâmpadas encaminhadas para descontaminação</t>
  </si>
  <si>
    <t>35. Destinação de pilhas e baterias encaminhadas para descontaminação</t>
  </si>
  <si>
    <t>36. Destinação de madeiras para reaproveitamento</t>
  </si>
  <si>
    <t>37. Destinação de vidros para reciclagem</t>
  </si>
  <si>
    <t>38. Destinação de metais para a reciclagem</t>
  </si>
  <si>
    <t xml:space="preserve">39. Destinação de resíduos de saúde para descontaminação </t>
  </si>
  <si>
    <t>Papel (Kg)</t>
  </si>
  <si>
    <t>Suprimentos de impressão (Kg)</t>
  </si>
  <si>
    <t>Plástico (Kg)</t>
  </si>
  <si>
    <t>Lâmpadas (Unidades)</t>
  </si>
  <si>
    <t>Pilhas e Baterias (Kg)</t>
  </si>
  <si>
    <t>Madeiras (Kg)</t>
  </si>
  <si>
    <t>Vidros (Kg)</t>
  </si>
  <si>
    <t>Metais (Kg)</t>
  </si>
  <si>
    <t>Resíduos de Saúde (Kg)</t>
  </si>
  <si>
    <t>Material</t>
  </si>
  <si>
    <t>40. Destinação de resíduos de obras à reciclagem</t>
  </si>
  <si>
    <t>41. Destinação de resíduos de informática (fitas, cabos, mídias, dentre outros) à reciclagem</t>
  </si>
  <si>
    <t>42. Total de material reciclável destinado às cooperativas</t>
  </si>
  <si>
    <t>Resídous de Obras (Kg)</t>
  </si>
  <si>
    <t>Resíduos de Informática (Kg)</t>
  </si>
  <si>
    <t>43. Participação dos servidores e/ou ações voltadas para a qualidade de vida no trabalho</t>
  </si>
  <si>
    <t>44. Participação de servidores em ações solidárias (ex: inclusão digital, alfabetização, campanhas voluntárias)</t>
  </si>
  <si>
    <t>45. Ações de inclusão para servidores com deficiência</t>
  </si>
  <si>
    <t>Servidores participantes em ações de Qualidade de Vida</t>
  </si>
  <si>
    <t>Servidores participantes em ações Solidárias</t>
  </si>
  <si>
    <t>Quantidade de Ações de Inclusão</t>
  </si>
  <si>
    <r>
      <rPr>
        <b/>
        <sz val="11"/>
        <color theme="1"/>
        <rFont val="Calibri"/>
        <family val="2"/>
        <scheme val="minor"/>
      </rPr>
      <t>TEMA 5:</t>
    </r>
    <r>
      <rPr>
        <sz val="11"/>
        <color theme="1"/>
        <rFont val="Calibri"/>
        <family val="2"/>
        <scheme val="minor"/>
      </rPr>
      <t xml:space="preserve"> Qualidade de Vida no Ambiente de Trabalho</t>
    </r>
  </si>
  <si>
    <r>
      <rPr>
        <b/>
        <sz val="11"/>
        <color theme="1"/>
        <rFont val="Calibri"/>
        <family val="2"/>
        <scheme val="minor"/>
      </rPr>
      <t>TEMA 6:</t>
    </r>
    <r>
      <rPr>
        <sz val="11"/>
        <color theme="1"/>
        <rFont val="Calibri"/>
        <family val="2"/>
        <scheme val="minor"/>
      </rPr>
      <t xml:space="preserve"> Contratações Sustentáveis - Telefonia</t>
    </r>
  </si>
  <si>
    <t>46. Gasto médio do contrato de telefonia fixa</t>
  </si>
  <si>
    <t>47. Gasto médio do contrato de telefonia móvel</t>
  </si>
  <si>
    <t>48. Gasto total do contrato de telefonia fixa</t>
  </si>
  <si>
    <t>49. Gasto total do contrato de telefonia móvel</t>
  </si>
  <si>
    <t>Qtde de Linhas</t>
  </si>
  <si>
    <t>TOTAL GERAL - Telefonia fixa</t>
  </si>
  <si>
    <t>TOTAL GERAL - Telefonia móvel</t>
  </si>
  <si>
    <t>TEMA 6: Contratações Sustentáveis - Vigilância</t>
  </si>
  <si>
    <t>50. Valor inicial do posto</t>
  </si>
  <si>
    <t>51. Valor atual do posto</t>
  </si>
  <si>
    <t>Quantidade de postos de trabalho</t>
  </si>
  <si>
    <t>TEMA 6: Contratações Sustentáveis - Limpeza</t>
  </si>
  <si>
    <t>52. Gasto de limpeza pela área construída</t>
  </si>
  <si>
    <t>53. Grau de repactuação</t>
  </si>
  <si>
    <t>54. Gasto com material de limpeza</t>
  </si>
  <si>
    <t>Gasto c/ Material de Limpeza</t>
  </si>
  <si>
    <t>55. Valor gasto com reformas nas unidades</t>
  </si>
  <si>
    <r>
      <rPr>
        <b/>
        <sz val="11"/>
        <color theme="1"/>
        <rFont val="Calibri"/>
        <family val="2"/>
        <scheme val="minor"/>
      </rPr>
      <t>TEMA 6:</t>
    </r>
    <r>
      <rPr>
        <sz val="11"/>
        <color theme="1"/>
        <rFont val="Calibri"/>
        <family val="2"/>
        <scheme val="minor"/>
      </rPr>
      <t xml:space="preserve"> Contratações Sustentáveis - Veículos</t>
    </r>
  </si>
  <si>
    <t>56. Consumo de gasolina da frota oficial de veículos</t>
  </si>
  <si>
    <t>57. Consumo de etanol da frota oficial de veículos</t>
  </si>
  <si>
    <t>58. Consumo de diesel da frota oficial de veículos</t>
  </si>
  <si>
    <t>Gasolina</t>
  </si>
  <si>
    <t>Etanol</t>
  </si>
  <si>
    <t>Diesel</t>
  </si>
  <si>
    <t>Anual
(Janeiro a Dezembro)</t>
  </si>
  <si>
    <t>Km Rodados</t>
  </si>
  <si>
    <t>Qtde. Litros</t>
  </si>
  <si>
    <t xml:space="preserve">59. Veículos para transporte de servidores, tramitação de documentos e demais atividades funcionais </t>
  </si>
  <si>
    <t>60. Veículos para transporte de magistrados</t>
  </si>
  <si>
    <t>61. Gasto com manutenção dos veículos da frota</t>
  </si>
  <si>
    <t>Combustivel</t>
  </si>
  <si>
    <t>Quantidade de Veículos</t>
  </si>
  <si>
    <t>Tipos de Veículos</t>
  </si>
  <si>
    <t>Transporte de servidores, tramitação de documentos e demais atividades funcionais</t>
  </si>
  <si>
    <t>Transporte de magistrados</t>
  </si>
  <si>
    <t>TEMA 8: Sensibilização e capacitação contínua</t>
  </si>
  <si>
    <t>62. Sensibilização e capacitação do corpo funcional e força de trabalho auxiliar</t>
  </si>
  <si>
    <t>Qtde. de ações de Sensibilização</t>
  </si>
  <si>
    <t>Vlr Total</t>
  </si>
  <si>
    <t>Demanda</t>
  </si>
  <si>
    <t>Medida</t>
  </si>
  <si>
    <t>Faturada</t>
  </si>
  <si>
    <t>Consumo Total</t>
  </si>
  <si>
    <t>Gasto (R$)</t>
  </si>
  <si>
    <t>Valor total do Contrato (R$)</t>
  </si>
  <si>
    <t>Valor total da Repactuação (R$)</t>
  </si>
  <si>
    <t>Gasto c/ reformas (R$)</t>
  </si>
  <si>
    <t>Qtde de Vaículos</t>
  </si>
  <si>
    <t>Gasto c/ Manutenção (R$)</t>
  </si>
  <si>
    <t>Fórmula: Quantidade (resmas) de papel branco utilizada</t>
  </si>
  <si>
    <t>Fórmula: Gasto – valor (R$) – com a compra de papel branco</t>
  </si>
  <si>
    <t>Fórmula: Quantidade (resmas) de papel reciclado utilizada</t>
  </si>
  <si>
    <t>Fórmula: Gasto – valor (R$) – com a compra de papel reciclado</t>
  </si>
  <si>
    <t>Fórmula: Quantidade total de resmas de papel branco e reciclado utilizadas</t>
  </si>
  <si>
    <t>Fórmula: Quantidade (centos) de copos 200 ml/total corpo funcional + força de trabalho auxiliar</t>
  </si>
  <si>
    <t>Fórmula: Gasto (R$) com a compra de copos de 200 ml</t>
  </si>
  <si>
    <t>Fórmula: Quantidade (centos) de copos de 50 ml/total corpo funcional + força de trabalho auxiliar</t>
  </si>
  <si>
    <t>Fórmula: Gasto (R$) com a compra de copos 50 ml</t>
  </si>
  <si>
    <t>Fórmula: Gasto(R$) com a compra de copos descartáveis (200ml + 50ml)</t>
  </si>
  <si>
    <t>Fórmula: Quantidade (unidades) de garrafas descartáveis consumidas</t>
  </si>
  <si>
    <t>Fórmula: Consumo de garrafões de água de 20 litros</t>
  </si>
  <si>
    <t xml:space="preserve">13. Gasto com aquisição de água envasada em embalagens plásticas (com e sem gás – explicitar o volume em ml ou litro) </t>
  </si>
  <si>
    <t>Fórmula: Gasto (R$) com a compra de garrafinhas plásticas (com e sem gás)</t>
  </si>
  <si>
    <t>Fórmula: Gasto (R$) com a compra de garrafões 20 litros</t>
  </si>
  <si>
    <t>Fórmula: Quantidade total de impressões/corpo funcional + força de trabalho auxiliar</t>
  </si>
  <si>
    <t>Fórmula: Quantidade de equipamentos instalados por unidade de trabalho</t>
  </si>
  <si>
    <t>Fórmula: Quantidade de impressões/ equipamentos instalados por unidade de trabalho</t>
  </si>
  <si>
    <t>Fórmula: Gasto (R$)  com a compra de suprimentos</t>
  </si>
  <si>
    <t>Fórmula: Gasto (R$)  com a compra de equipamentos de impressão</t>
  </si>
  <si>
    <t>Fórmula: Gasto (R$)  com o posto de impressão</t>
  </si>
  <si>
    <t>Fórmula: Quantidade de Kwh consumidos</t>
  </si>
  <si>
    <t>Fórmula: Quantidade de Kwh consumidos/total da área construída</t>
  </si>
  <si>
    <t xml:space="preserve">Fórmula: Valor (R$) da fatura </t>
  </si>
  <si>
    <t>Fórmula: Valor (R$) da fatura/total da área construída</t>
  </si>
  <si>
    <t>Fórmula: Demanda registrada fora de ponta/demanda contratada fora de ponta (%)</t>
  </si>
  <si>
    <t>Fórmula: Demanda registrada ponta/Demanda contratada ponta (%)</t>
  </si>
  <si>
    <t>Fórmula: Quantidade de m³ de água</t>
  </si>
  <si>
    <t>Fórmula: Quantidade de m³ de água/total área construída</t>
  </si>
  <si>
    <t>Fórmula: Valor (R$) da fatura</t>
  </si>
  <si>
    <t>Fórmula: Valor (R$) da fatura/área total construída</t>
  </si>
  <si>
    <t>Fórmula: Quantidade (kg) de papel destinado à reciclagem</t>
  </si>
  <si>
    <t xml:space="preserve">Fórmula: Quantidade (kg) de suprimentos de impressão destinados à reciclagem </t>
  </si>
  <si>
    <t>Fórmula:  Quantidade (kg) de plástico destinado à reciclagem</t>
  </si>
  <si>
    <t xml:space="preserve">Fórmula: Quantidade (unidades) de lâmpadas encaminhadas para descontaminação </t>
  </si>
  <si>
    <t>Fórmula:  Quantidade (kg) de pilhas e baterias encaminhadas para descontaminação</t>
  </si>
  <si>
    <t>Fórmula:  Quantidade (kg) de madeira destinada à reciclagem</t>
  </si>
  <si>
    <t xml:space="preserve">Fórmula: Quantidade (kg) de vidros destinados à reciclagem </t>
  </si>
  <si>
    <t xml:space="preserve">Fórmula: Quantidade (kg) de metais destinados à reciclagem </t>
  </si>
  <si>
    <t xml:space="preserve">Fórmula: Quantidade (kg) de resíduos de saúde destinados à descontaminação </t>
  </si>
  <si>
    <t xml:space="preserve">Fórmula: Quantidade (kg) de resíduos de obras destinados à reciclagem </t>
  </si>
  <si>
    <t>Fórmula: Quantidade (kg) de resíduos de informática (fitas, cabos, mídias, dentre outros) destinados à reciclagem</t>
  </si>
  <si>
    <t>Fórmula:  Quantidade (kg) de resíduos recicláveis destinados às cooperativas</t>
  </si>
  <si>
    <t>Fórmula: (Quantidade de servidores que participaram de ações de qualidade de vida/total de servidores da instituição) x 100</t>
  </si>
  <si>
    <t>Fórmula: (Quantidade de servidores que participaram de ações solidárias/total de servidores da instituição) x 100</t>
  </si>
  <si>
    <t>Fórmula: Quantidade de ações de inclusão</t>
  </si>
  <si>
    <t>Fórmula: Valor (R$) da fatura/quantidade de linhas</t>
  </si>
  <si>
    <t>Fórmula: Valor (R$) da fatura de telefonia fixa</t>
  </si>
  <si>
    <t>Fórmula: Valor (R$) da fatura de telefonia móvel</t>
  </si>
  <si>
    <t>Fórmula: Valor total anual do contrato/quantidade de postos</t>
  </si>
  <si>
    <t>Fórmula: Valor total anual de repactuação/valor total anual de assinatura do contrato</t>
  </si>
  <si>
    <t>Fórmula: Valor (R$) anual do contrato/área construída</t>
  </si>
  <si>
    <t>Fórmula: Valor total anual de repactuação/valor total anual da assinatura do contrato</t>
  </si>
  <si>
    <t>Fórmula: Gasto (R$)  com aquisição de material de limpeza</t>
  </si>
  <si>
    <t>Fórmula: Gasto (R$) com reformas nas unidades no ano vigente/ Valor gasto com reformas no ano anterior</t>
  </si>
  <si>
    <t>Fórmula: Quantidade de litros de gasolina consumidos/quantidade de km rodados</t>
  </si>
  <si>
    <t>Fórmula: Quantidade de litros de etanol consumidos/quantidade de km rodados</t>
  </si>
  <si>
    <t>Fórmula: Quantidade de litros de diesel consumidos/quantidade de km rodados</t>
  </si>
  <si>
    <t>Fórmula: Quantidade de veículos utilizados no transporte de servidores, tramitação de documentos e demais atividades funcionais/total de servidores</t>
  </si>
  <si>
    <t>Fórmula: Quantidade de veículos utilizados no transporte de magistrados /total de magistrados</t>
  </si>
  <si>
    <t>Fórmula: Valor (R$) da fatura do total de contratos de manutenção/ quantidade de veículos</t>
  </si>
  <si>
    <t xml:space="preserve">Fórmula: Quantidade de ações de sensibilização e capacitação </t>
  </si>
  <si>
    <t>Mensal e anual</t>
  </si>
  <si>
    <t>Semestral e anual</t>
  </si>
  <si>
    <t>Semestral</t>
  </si>
  <si>
    <t>Anual</t>
  </si>
  <si>
    <t>Mensal</t>
  </si>
  <si>
    <t>Mensal e semestral</t>
  </si>
  <si>
    <t>Mensal e Anual</t>
  </si>
  <si>
    <t>Quantidade (resmas) de papel branco utilizada</t>
  </si>
  <si>
    <t>Gasto – valor (R$) – com a compra de papel branco</t>
  </si>
  <si>
    <t>Quantidade (resmas) de papel reciclado utilizada</t>
  </si>
  <si>
    <t>Gasto – valor (R$) – com a compra de papel reciclado</t>
  </si>
  <si>
    <t>Quantidade total de resmas de papel branco e reciclado utilizadas</t>
  </si>
  <si>
    <t>Quantidade de Kwh consumidos</t>
  </si>
  <si>
    <t>Quantidade de Kwh consumidos/total da área construída</t>
  </si>
  <si>
    <t xml:space="preserve">Valor (R$) da fatura </t>
  </si>
  <si>
    <t>Valor (R$) da fatura/total da área construída</t>
  </si>
  <si>
    <t>Demanda registrada fora de ponta/demanda contratada fora de ponta (%)</t>
  </si>
  <si>
    <t>Demanda registrada ponta/Demanda contratada ponta (%)</t>
  </si>
  <si>
    <t>Quantidade de m³ de água</t>
  </si>
  <si>
    <t>Quantidade de m³ de água/total área construída</t>
  </si>
  <si>
    <t>Valor (R$) da fatura</t>
  </si>
  <si>
    <t>Valor (R$) da fatura/área total construída</t>
  </si>
  <si>
    <t>Quantidade (kg) de papel destinado à reciclagem</t>
  </si>
  <si>
    <t xml:space="preserve">Quantidade (kg) de suprimentos de impressão destinados à reciclagem </t>
  </si>
  <si>
    <t xml:space="preserve"> Quantidade (kg) de plástico destinado à reciclagem</t>
  </si>
  <si>
    <t xml:space="preserve">Quantidade (unidades) de lâmpadas encaminhadas para descontaminação </t>
  </si>
  <si>
    <t xml:space="preserve"> Quantidade (kg) de pilhas e baterias encaminhadas para descontaminação</t>
  </si>
  <si>
    <t xml:space="preserve"> Quantidade (kg) de madeira destinada à reciclagem</t>
  </si>
  <si>
    <t xml:space="preserve">Quantidade (kg) de vidros destinados à reciclagem </t>
  </si>
  <si>
    <t xml:space="preserve">Quantidade (kg) de metais destinados à reciclagem </t>
  </si>
  <si>
    <t xml:space="preserve">Quantidade (kg) de resíduos de saúde destinados à descontaminação </t>
  </si>
  <si>
    <t xml:space="preserve"> Quantidade (kg) de resíduos recicláveis destinados às cooperativas</t>
  </si>
  <si>
    <t>Valor (R$) da fatura/quantidade de linhas</t>
  </si>
  <si>
    <t>Valor (R$) da fatura de telefonia fixa</t>
  </si>
  <si>
    <t>Valor (R$) da fatura de telefonia móvel</t>
  </si>
  <si>
    <t>Quantidade de litros de gasolina consumidos/quantidade de km rodados</t>
  </si>
  <si>
    <t>Quantidade de litros de etanol consumidos/quantidade de km rodados</t>
  </si>
  <si>
    <t>Quantidade de litros de diesel consumidos/quantidade de km rodados</t>
  </si>
  <si>
    <t>Indicador</t>
  </si>
  <si>
    <t>Fórmula</t>
  </si>
  <si>
    <t>Seção Judiciária do Tocantins
Ed. Sede</t>
  </si>
  <si>
    <t>Seção Judiciária do Tocantins
Ed. Anexo</t>
  </si>
  <si>
    <t>Valor Total</t>
  </si>
  <si>
    <t>Seção Judiciária do Tocantins - Ed. Sede</t>
  </si>
  <si>
    <t>Seção Judiciária do Tocantins - Ed. Anexo</t>
  </si>
  <si>
    <t>Não se aplica</t>
  </si>
  <si>
    <t>Consumo (Km/l)</t>
  </si>
  <si>
    <t>Quantidade (centos) de copos 200 ml/total corpo funcional + força de trabalho auxiliar</t>
  </si>
  <si>
    <t>Gasto (R$) com a compra de copos de 200 ml</t>
  </si>
  <si>
    <t>Quantidade (centos) de copos de 50 ml/total corpo funcional + força de trabalho auxiliar</t>
  </si>
  <si>
    <t>Gasto (R$) com a compra de copos 50 ml</t>
  </si>
  <si>
    <t>Gasto(R$) com a compra de copos descartáveis (200ml + 50ml)</t>
  </si>
  <si>
    <t>Quantidade (unidades) de garrafas descartáveis consumidas</t>
  </si>
  <si>
    <t>Consumo de garrafões de água de 20 litros</t>
  </si>
  <si>
    <t>Gasto (R$) com a compra de garrafinhas plásticas (com e sem gás)</t>
  </si>
  <si>
    <t>Gasto (R$) com a compra de garrafões 20 litros</t>
  </si>
  <si>
    <t>Quantidade total de impressões/corpo funcional + força de trabalho auxiliar</t>
  </si>
  <si>
    <t>Quantidade de equipamentos instalados por unidade de trabalho</t>
  </si>
  <si>
    <t>Quantidade de impressões/ equipamentos instalados por unidade de trabalho</t>
  </si>
  <si>
    <t xml:space="preserve">Quantidade (kg) de resíduos de obras destinados à reciclagem </t>
  </si>
  <si>
    <t>Quantidade (kg) de resíduos de informática (fitas, cabos, mídias, dentre outros) destinados à reciclagem</t>
  </si>
  <si>
    <t>Controle de Indicadores - Mensais (até dia 20 de cada mês)</t>
  </si>
  <si>
    <t>Controle de Indicadores - Semestrais (até dia 28 de fevereiro de 31 de agosto)</t>
  </si>
  <si>
    <t>Controle de Indicadores - Anuais (até dia 28 de fevereiro)</t>
  </si>
  <si>
    <t>Ativo</t>
  </si>
  <si>
    <t>Inativo</t>
  </si>
  <si>
    <t>Magistrados</t>
  </si>
  <si>
    <t>Estagiários</t>
  </si>
  <si>
    <t>Terceirizados</t>
  </si>
  <si>
    <t>Voluntários</t>
  </si>
  <si>
    <t>Area</t>
  </si>
  <si>
    <t>Sem Vinculo</t>
  </si>
  <si>
    <t>Pensionista</t>
  </si>
  <si>
    <t>5ª Vara Federal</t>
  </si>
  <si>
    <t>Sem destinação</t>
  </si>
  <si>
    <t>Sede</t>
  </si>
  <si>
    <t>Anexo</t>
  </si>
  <si>
    <t>ARN</t>
  </si>
  <si>
    <t>GUR</t>
  </si>
  <si>
    <t>Requisitados</t>
  </si>
  <si>
    <t>1º Semestre/2018
(Janeiro a Junho)</t>
  </si>
  <si>
    <t>2º Semestre/2018
(Julho a Dezembro)</t>
  </si>
  <si>
    <t>Subseção Judiciária de Araguaína
Sede</t>
  </si>
  <si>
    <t>Subseção Judiciária de Araguaína
Anexo</t>
  </si>
  <si>
    <t>Anual/2019
(Janeiro a Dezembro)</t>
  </si>
  <si>
    <t>Anual/2019</t>
  </si>
  <si>
    <t>Anual/2019
(Janiero a Dezembro)</t>
  </si>
  <si>
    <t>1º Semestre/2019
(Janeiro a Junho)</t>
  </si>
  <si>
    <t>2º Semestre/2019
(Julho a Dezembro)</t>
  </si>
</sst>
</file>

<file path=xl/styles.xml><?xml version="1.0" encoding="utf-8"?>
<styleSheet xmlns="http://schemas.openxmlformats.org/spreadsheetml/2006/main">
  <numFmts count="15">
    <numFmt numFmtId="6" formatCode="&quot;R$&quot;\ #,##0;[Red]\-&quot;R$&quot;\ #,##0"/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0"/>
    <numFmt numFmtId="167" formatCode="&quot; &quot;#,##0&quot; &quot;;&quot;-&quot;#,##0&quot; &quot;;&quot;-&quot;#&quot; &quot;;&quot; &quot;@&quot; &quot;"/>
    <numFmt numFmtId="168" formatCode="&quot; &quot;#,##0.00&quot; &quot;;&quot;-&quot;#,##0.00&quot; &quot;;&quot;-&quot;#&quot; &quot;;&quot; &quot;@&quot; &quot;"/>
    <numFmt numFmtId="169" formatCode="[$-416]0%"/>
    <numFmt numFmtId="170" formatCode="[$-416]General"/>
    <numFmt numFmtId="171" formatCode="[$R$-416]&quot; &quot;#,##0.00;[Red]&quot;-&quot;[$R$-416]&quot; &quot;#,##0.00"/>
    <numFmt numFmtId="172" formatCode="_-* #,##0.00_-;\-* #,##0.00_-;_-* \-??_-;_-@_-"/>
    <numFmt numFmtId="173" formatCode="_-* #,##0_-;\-* #,##0_-;_-* \-??_-;_-@_-"/>
    <numFmt numFmtId="174" formatCode="#,##0.00\ ;\-#,##0.00\ ;\-#\ ;@\ "/>
    <numFmt numFmtId="175" formatCode="#,##0\ ;\-#,##0\ ;\-#\ ;@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FFD1"/>
        <bgColor indexed="64"/>
      </patternFill>
    </fill>
    <fill>
      <patternFill patternType="solid">
        <fgColor rgb="FF87F9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8" fontId="11" fillId="0" borderId="0"/>
    <xf numFmtId="170" fontId="11" fillId="0" borderId="0"/>
    <xf numFmtId="169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71" fontId="13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4" fillId="0" borderId="0" applyNumberFormat="0" applyFill="0" applyBorder="0" applyAlignment="0" applyProtection="0"/>
    <xf numFmtId="168" fontId="11" fillId="0" borderId="0"/>
    <xf numFmtId="0" fontId="15" fillId="0" borderId="0"/>
    <xf numFmtId="172" fontId="15" fillId="0" borderId="0" applyBorder="0" applyProtection="0"/>
    <xf numFmtId="9" fontId="15" fillId="0" borderId="0" applyBorder="0" applyProtection="0"/>
    <xf numFmtId="0" fontId="16" fillId="0" borderId="0" applyBorder="0" applyProtection="0"/>
  </cellStyleXfs>
  <cellXfs count="62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" fillId="2" borderId="21" xfId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/>
    </xf>
    <xf numFmtId="164" fontId="1" fillId="2" borderId="11" xfId="1" applyNumberFormat="1" applyFont="1" applyFill="1" applyBorder="1" applyAlignment="1">
      <alignment horizontal="center" vertical="center"/>
    </xf>
    <xf numFmtId="0" fontId="0" fillId="2" borderId="15" xfId="0" applyFont="1" applyFill="1" applyBorder="1"/>
    <xf numFmtId="0" fontId="0" fillId="2" borderId="17" xfId="0" applyFont="1" applyFill="1" applyBorder="1" applyAlignment="1">
      <alignment horizontal="left"/>
    </xf>
    <xf numFmtId="164" fontId="3" fillId="2" borderId="5" xfId="1" applyNumberFormat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indent="3"/>
    </xf>
    <xf numFmtId="0" fontId="0" fillId="2" borderId="17" xfId="0" applyFill="1" applyBorder="1" applyAlignment="1">
      <alignment horizontal="left" indent="3"/>
    </xf>
    <xf numFmtId="0" fontId="0" fillId="2" borderId="18" xfId="0" applyFill="1" applyBorder="1" applyAlignment="1">
      <alignment horizontal="left" indent="3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164" fontId="0" fillId="2" borderId="25" xfId="1" applyNumberFormat="1" applyFont="1" applyFill="1" applyBorder="1" applyAlignment="1">
      <alignment horizontal="center" vertical="center"/>
    </xf>
    <xf numFmtId="43" fontId="0" fillId="2" borderId="26" xfId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43" fontId="0" fillId="2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2" borderId="31" xfId="1" applyNumberFormat="1" applyFont="1" applyFill="1" applyBorder="1" applyAlignment="1">
      <alignment horizontal="center" vertical="center"/>
    </xf>
    <xf numFmtId="164" fontId="1" fillId="2" borderId="21" xfId="1" applyNumberFormat="1" applyFont="1" applyFill="1" applyBorder="1" applyAlignment="1">
      <alignment horizontal="center" vertical="center"/>
    </xf>
    <xf numFmtId="43" fontId="1" fillId="2" borderId="5" xfId="1" applyNumberFormat="1" applyFont="1" applyFill="1" applyBorder="1" applyAlignment="1">
      <alignment horizontal="center" vertical="center"/>
    </xf>
    <xf numFmtId="43" fontId="1" fillId="2" borderId="28" xfId="1" applyNumberFormat="1" applyFont="1" applyFill="1" applyBorder="1" applyAlignment="1">
      <alignment horizontal="center" vertical="center"/>
    </xf>
    <xf numFmtId="43" fontId="1" fillId="2" borderId="6" xfId="1" applyNumberFormat="1" applyFont="1" applyFill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43" fontId="0" fillId="0" borderId="14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1" fillId="2" borderId="2" xfId="1" applyNumberFormat="1" applyFont="1" applyFill="1" applyBorder="1" applyAlignment="1">
      <alignment horizontal="center" vertical="center"/>
    </xf>
    <xf numFmtId="43" fontId="1" fillId="2" borderId="14" xfId="1" applyNumberFormat="1" applyFont="1" applyFill="1" applyBorder="1" applyAlignment="1">
      <alignment horizontal="center" vertical="center"/>
    </xf>
    <xf numFmtId="43" fontId="1" fillId="2" borderId="1" xfId="1" applyNumberFormat="1" applyFont="1" applyFill="1" applyBorder="1" applyAlignment="1">
      <alignment horizontal="center" vertical="center"/>
    </xf>
    <xf numFmtId="43" fontId="1" fillId="2" borderId="20" xfId="1" applyNumberFormat="1" applyFont="1" applyFill="1" applyBorder="1" applyAlignment="1">
      <alignment horizontal="center" vertical="center"/>
    </xf>
    <xf numFmtId="43" fontId="1" fillId="2" borderId="31" xfId="1" applyNumberFormat="1" applyFont="1" applyFill="1" applyBorder="1" applyAlignment="1">
      <alignment horizontal="center" vertical="center"/>
    </xf>
    <xf numFmtId="43" fontId="1" fillId="2" borderId="21" xfId="1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49" fontId="0" fillId="0" borderId="0" xfId="0" applyNumberFormat="1"/>
    <xf numFmtId="0" fontId="1" fillId="3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4" fontId="0" fillId="0" borderId="8" xfId="1" applyNumberFormat="1" applyFont="1" applyBorder="1"/>
    <xf numFmtId="164" fontId="0" fillId="0" borderId="12" xfId="1" applyNumberFormat="1" applyFont="1" applyBorder="1"/>
    <xf numFmtId="164" fontId="0" fillId="2" borderId="12" xfId="1" applyNumberFormat="1" applyFont="1" applyFill="1" applyBorder="1"/>
    <xf numFmtId="164" fontId="0" fillId="0" borderId="9" xfId="1" applyNumberFormat="1" applyFont="1" applyBorder="1"/>
    <xf numFmtId="0" fontId="1" fillId="3" borderId="19" xfId="0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3" fontId="1" fillId="2" borderId="19" xfId="1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3" fontId="0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3" fontId="3" fillId="0" borderId="5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43" fontId="1" fillId="2" borderId="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43" fontId="1" fillId="2" borderId="8" xfId="1" applyNumberFormat="1" applyFont="1" applyFill="1" applyBorder="1" applyAlignment="1">
      <alignment horizontal="center" vertical="center"/>
    </xf>
    <xf numFmtId="43" fontId="0" fillId="2" borderId="2" xfId="1" applyNumberFormat="1" applyFont="1" applyFill="1" applyBorder="1" applyAlignment="1">
      <alignment horizontal="center" vertical="center"/>
    </xf>
    <xf numFmtId="43" fontId="0" fillId="2" borderId="12" xfId="1" applyNumberFormat="1" applyFont="1" applyFill="1" applyBorder="1" applyAlignment="1">
      <alignment horizontal="center" vertical="center"/>
    </xf>
    <xf numFmtId="43" fontId="1" fillId="2" borderId="12" xfId="1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4" fontId="1" fillId="2" borderId="42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34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43" fontId="1" fillId="2" borderId="9" xfId="1" applyNumberFormat="1" applyFont="1" applyFill="1" applyBorder="1" applyAlignment="1">
      <alignment horizontal="center" vertical="center"/>
    </xf>
    <xf numFmtId="43" fontId="1" fillId="2" borderId="43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12" xfId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43" fontId="0" fillId="0" borderId="9" xfId="1" applyFont="1" applyBorder="1"/>
    <xf numFmtId="43" fontId="1" fillId="2" borderId="9" xfId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43" fontId="3" fillId="0" borderId="34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3" fillId="0" borderId="15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43" fontId="3" fillId="0" borderId="42" xfId="1" applyFont="1" applyFill="1" applyBorder="1" applyAlignment="1">
      <alignment horizontal="center" vertical="center"/>
    </xf>
    <xf numFmtId="43" fontId="3" fillId="0" borderId="40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43" fontId="0" fillId="2" borderId="9" xfId="1" applyFont="1" applyFill="1" applyBorder="1"/>
    <xf numFmtId="164" fontId="0" fillId="2" borderId="8" xfId="1" applyNumberFormat="1" applyFont="1" applyFill="1" applyBorder="1"/>
    <xf numFmtId="0" fontId="1" fillId="3" borderId="3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2" borderId="34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0" fontId="1" fillId="3" borderId="35" xfId="0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0" fontId="1" fillId="3" borderId="4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5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2" borderId="14" xfId="0" applyFont="1" applyFill="1" applyBorder="1"/>
    <xf numFmtId="43" fontId="0" fillId="2" borderId="14" xfId="0" applyNumberFormat="1" applyFont="1" applyFill="1" applyBorder="1"/>
    <xf numFmtId="43" fontId="0" fillId="4" borderId="14" xfId="0" applyNumberFormat="1" applyFont="1" applyFill="1" applyBorder="1"/>
    <xf numFmtId="0" fontId="0" fillId="4" borderId="14" xfId="0" applyFont="1" applyFill="1" applyBorder="1"/>
    <xf numFmtId="43" fontId="0" fillId="4" borderId="30" xfId="0" applyNumberFormat="1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4" borderId="4" xfId="0" applyFont="1" applyFill="1" applyBorder="1"/>
    <xf numFmtId="0" fontId="0" fillId="0" borderId="30" xfId="0" applyFont="1" applyBorder="1"/>
    <xf numFmtId="43" fontId="0" fillId="5" borderId="6" xfId="0" applyNumberFormat="1" applyFont="1" applyFill="1" applyBorder="1"/>
    <xf numFmtId="43" fontId="0" fillId="2" borderId="1" xfId="0" applyNumberFormat="1" applyFont="1" applyFill="1" applyBorder="1"/>
    <xf numFmtId="43" fontId="0" fillId="4" borderId="1" xfId="0" applyNumberFormat="1" applyFont="1" applyFill="1" applyBorder="1"/>
    <xf numFmtId="43" fontId="0" fillId="4" borderId="4" xfId="0" applyNumberFormat="1" applyFont="1" applyFill="1" applyBorder="1"/>
    <xf numFmtId="0" fontId="0" fillId="0" borderId="1" xfId="0" applyFont="1" applyBorder="1"/>
    <xf numFmtId="0" fontId="0" fillId="0" borderId="4" xfId="0" applyFont="1" applyBorder="1"/>
    <xf numFmtId="0" fontId="1" fillId="5" borderId="28" xfId="0" applyFont="1" applyFill="1" applyBorder="1"/>
    <xf numFmtId="0" fontId="1" fillId="5" borderId="6" xfId="0" applyFont="1" applyFill="1" applyBorder="1"/>
    <xf numFmtId="0" fontId="1" fillId="3" borderId="5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left"/>
    </xf>
    <xf numFmtId="0" fontId="0" fillId="0" borderId="7" xfId="0" applyFont="1" applyBorder="1"/>
    <xf numFmtId="43" fontId="0" fillId="4" borderId="7" xfId="0" applyNumberFormat="1" applyFont="1" applyFill="1" applyBorder="1"/>
    <xf numFmtId="43" fontId="1" fillId="5" borderId="28" xfId="0" applyNumberFormat="1" applyFont="1" applyFill="1" applyBorder="1"/>
    <xf numFmtId="43" fontId="1" fillId="5" borderId="6" xfId="0" applyNumberFormat="1" applyFont="1" applyFill="1" applyBorder="1"/>
    <xf numFmtId="0" fontId="0" fillId="4" borderId="30" xfId="0" applyFont="1" applyFill="1" applyBorder="1"/>
    <xf numFmtId="0" fontId="0" fillId="4" borderId="7" xfId="0" applyFont="1" applyFill="1" applyBorder="1"/>
    <xf numFmtId="164" fontId="3" fillId="0" borderId="14" xfId="1" applyNumberFormat="1" applyFont="1" applyBorder="1"/>
    <xf numFmtId="164" fontId="3" fillId="0" borderId="1" xfId="1" applyNumberFormat="1" applyFont="1" applyBorder="1"/>
    <xf numFmtId="0" fontId="1" fillId="2" borderId="29" xfId="0" applyFont="1" applyFill="1" applyBorder="1"/>
    <xf numFmtId="164" fontId="3" fillId="0" borderId="29" xfId="1" applyNumberFormat="1" applyFont="1" applyBorder="1"/>
    <xf numFmtId="164" fontId="3" fillId="0" borderId="4" xfId="1" applyNumberFormat="1" applyFont="1" applyBorder="1"/>
    <xf numFmtId="164" fontId="1" fillId="5" borderId="28" xfId="0" applyNumberFormat="1" applyFont="1" applyFill="1" applyBorder="1"/>
    <xf numFmtId="164" fontId="1" fillId="5" borderId="6" xfId="0" applyNumberFormat="1" applyFont="1" applyFill="1" applyBorder="1"/>
    <xf numFmtId="164" fontId="0" fillId="5" borderId="6" xfId="0" applyNumberFormat="1" applyFont="1" applyFill="1" applyBorder="1"/>
    <xf numFmtId="0" fontId="1" fillId="5" borderId="2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14" xfId="1" applyNumberFormat="1" applyFont="1" applyFill="1" applyBorder="1" applyAlignment="1">
      <alignment horizontal="center" vertical="center"/>
    </xf>
    <xf numFmtId="164" fontId="0" fillId="4" borderId="29" xfId="1" applyNumberFormat="1" applyFon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4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43" fontId="0" fillId="4" borderId="14" xfId="0" applyNumberFormat="1" applyFill="1" applyBorder="1" applyAlignment="1">
      <alignment horizontal="center" vertical="center"/>
    </xf>
    <xf numFmtId="43" fontId="0" fillId="4" borderId="29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/>
    </xf>
    <xf numFmtId="43" fontId="0" fillId="4" borderId="4" xfId="0" applyNumberForma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43" fontId="1" fillId="5" borderId="28" xfId="0" applyNumberFormat="1" applyFont="1" applyFill="1" applyBorder="1" applyAlignment="1">
      <alignment horizontal="center" vertical="center"/>
    </xf>
    <xf numFmtId="43" fontId="1" fillId="5" borderId="6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3" fontId="0" fillId="0" borderId="14" xfId="1" applyFont="1" applyBorder="1"/>
    <xf numFmtId="43" fontId="0" fillId="0" borderId="14" xfId="1" applyNumberFormat="1" applyFont="1" applyBorder="1"/>
    <xf numFmtId="43" fontId="0" fillId="0" borderId="1" xfId="1" applyFont="1" applyBorder="1"/>
    <xf numFmtId="0" fontId="1" fillId="2" borderId="29" xfId="0" applyFont="1" applyFill="1" applyBorder="1" applyAlignment="1">
      <alignment horizontal="left"/>
    </xf>
    <xf numFmtId="43" fontId="0" fillId="0" borderId="29" xfId="1" applyFont="1" applyBorder="1"/>
    <xf numFmtId="43" fontId="0" fillId="0" borderId="4" xfId="1" applyFont="1" applyBorder="1"/>
    <xf numFmtId="43" fontId="0" fillId="0" borderId="1" xfId="1" applyNumberFormat="1" applyFont="1" applyBorder="1"/>
    <xf numFmtId="0" fontId="1" fillId="5" borderId="28" xfId="0" applyFont="1" applyFill="1" applyBorder="1" applyAlignment="1">
      <alignment vertical="center"/>
    </xf>
    <xf numFmtId="43" fontId="1" fillId="5" borderId="28" xfId="1" applyNumberFormat="1" applyFont="1" applyFill="1" applyBorder="1" applyAlignment="1">
      <alignment vertical="center"/>
    </xf>
    <xf numFmtId="43" fontId="1" fillId="5" borderId="6" xfId="1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4" fontId="1" fillId="5" borderId="28" xfId="1" applyNumberFormat="1" applyFont="1" applyFill="1" applyBorder="1" applyAlignment="1">
      <alignment horizontal="center" vertical="center"/>
    </xf>
    <xf numFmtId="164" fontId="1" fillId="5" borderId="6" xfId="1" applyNumberFormat="1" applyFont="1" applyFill="1" applyBorder="1" applyAlignment="1">
      <alignment horizontal="center" vertical="center"/>
    </xf>
    <xf numFmtId="164" fontId="0" fillId="4" borderId="30" xfId="1" applyNumberFormat="1" applyFont="1" applyFill="1" applyBorder="1" applyAlignment="1">
      <alignment horizontal="center" vertical="center"/>
    </xf>
    <xf numFmtId="164" fontId="0" fillId="4" borderId="7" xfId="1" applyNumberFormat="1" applyFont="1" applyFill="1" applyBorder="1" applyAlignment="1">
      <alignment horizontal="center" vertical="center"/>
    </xf>
    <xf numFmtId="164" fontId="0" fillId="4" borderId="51" xfId="1" applyNumberFormat="1" applyFont="1" applyFill="1" applyBorder="1" applyAlignment="1">
      <alignment horizontal="center" vertical="center"/>
    </xf>
    <xf numFmtId="164" fontId="0" fillId="4" borderId="26" xfId="1" applyNumberFormat="1" applyFont="1" applyFill="1" applyBorder="1" applyAlignment="1">
      <alignment horizontal="center" vertical="center"/>
    </xf>
    <xf numFmtId="164" fontId="0" fillId="4" borderId="59" xfId="1" applyNumberFormat="1" applyFont="1" applyFill="1" applyBorder="1" applyAlignment="1">
      <alignment horizontal="center" vertical="center"/>
    </xf>
    <xf numFmtId="164" fontId="0" fillId="4" borderId="62" xfId="1" applyNumberFormat="1" applyFont="1" applyFill="1" applyBorder="1" applyAlignment="1">
      <alignment horizontal="center" vertical="center"/>
    </xf>
    <xf numFmtId="0" fontId="0" fillId="4" borderId="14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43" fontId="0" fillId="4" borderId="1" xfId="1" applyNumberFormat="1" applyFont="1" applyFill="1" applyBorder="1" applyAlignment="1">
      <alignment horizontal="center" vertical="center"/>
    </xf>
    <xf numFmtId="0" fontId="0" fillId="4" borderId="30" xfId="1" applyNumberFormat="1" applyFont="1" applyFill="1" applyBorder="1" applyAlignment="1">
      <alignment horizontal="center" vertical="center"/>
    </xf>
    <xf numFmtId="0" fontId="0" fillId="4" borderId="7" xfId="1" applyNumberFormat="1" applyFont="1" applyFill="1" applyBorder="1" applyAlignment="1">
      <alignment horizontal="center" vertical="center"/>
    </xf>
    <xf numFmtId="164" fontId="1" fillId="5" borderId="6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1" fillId="0" borderId="0" xfId="0" applyFont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3" fillId="0" borderId="14" xfId="1" applyFont="1" applyBorder="1"/>
    <xf numFmtId="43" fontId="3" fillId="0" borderId="29" xfId="1" applyFont="1" applyBorder="1"/>
    <xf numFmtId="43" fontId="1" fillId="5" borderId="28" xfId="1" applyNumberFormat="1" applyFont="1" applyFill="1" applyBorder="1"/>
    <xf numFmtId="43" fontId="1" fillId="5" borderId="6" xfId="1" applyNumberFormat="1" applyFont="1" applyFill="1" applyBorder="1"/>
    <xf numFmtId="43" fontId="3" fillId="0" borderId="14" xfId="1" applyNumberFormat="1" applyFont="1" applyBorder="1"/>
    <xf numFmtId="43" fontId="3" fillId="0" borderId="1" xfId="1" applyNumberFormat="1" applyFont="1" applyBorder="1"/>
    <xf numFmtId="43" fontId="3" fillId="0" borderId="29" xfId="1" applyNumberFormat="1" applyFont="1" applyBorder="1"/>
    <xf numFmtId="43" fontId="3" fillId="0" borderId="4" xfId="1" applyNumberFormat="1" applyFont="1" applyBorder="1"/>
    <xf numFmtId="43" fontId="0" fillId="5" borderId="28" xfId="1" applyFont="1" applyFill="1" applyBorder="1"/>
    <xf numFmtId="9" fontId="0" fillId="4" borderId="14" xfId="2" applyFont="1" applyFill="1" applyBorder="1"/>
    <xf numFmtId="9" fontId="0" fillId="4" borderId="1" xfId="2" applyFont="1" applyFill="1" applyBorder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3" fontId="0" fillId="0" borderId="1" xfId="1" applyFont="1" applyBorder="1" applyAlignment="1" applyProtection="1">
      <alignment horizontal="center" vertical="center"/>
    </xf>
    <xf numFmtId="43" fontId="1" fillId="2" borderId="9" xfId="1" applyNumberFormat="1" applyFont="1" applyFill="1" applyBorder="1" applyAlignment="1">
      <alignment horizontal="center" vertical="center"/>
    </xf>
    <xf numFmtId="43" fontId="3" fillId="0" borderId="9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1" fillId="2" borderId="20" xfId="1" applyNumberFormat="1" applyFont="1" applyFill="1" applyBorder="1" applyAlignment="1">
      <alignment horizontal="center" vertical="center"/>
    </xf>
    <xf numFmtId="43" fontId="1" fillId="2" borderId="31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0" fillId="0" borderId="0" xfId="0" applyNumberFormat="1"/>
    <xf numFmtId="43" fontId="1" fillId="2" borderId="31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2" fontId="0" fillId="4" borderId="14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43" fontId="0" fillId="4" borderId="14" xfId="1" applyNumberFormat="1" applyFont="1" applyFill="1" applyBorder="1" applyAlignment="1">
      <alignment horizontal="center" vertical="center"/>
    </xf>
    <xf numFmtId="43" fontId="0" fillId="4" borderId="29" xfId="1" applyNumberFormat="1" applyFont="1" applyFill="1" applyBorder="1" applyAlignment="1">
      <alignment horizontal="center" vertical="center"/>
    </xf>
    <xf numFmtId="43" fontId="0" fillId="4" borderId="4" xfId="1" applyNumberFormat="1" applyFont="1" applyFill="1" applyBorder="1" applyAlignment="1">
      <alignment horizontal="center" vertical="center"/>
    </xf>
    <xf numFmtId="2" fontId="1" fillId="5" borderId="28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43" fontId="0" fillId="4" borderId="30" xfId="0" applyNumberFormat="1" applyFill="1" applyBorder="1" applyAlignment="1">
      <alignment horizontal="center" vertical="center"/>
    </xf>
    <xf numFmtId="43" fontId="0" fillId="4" borderId="7" xfId="0" applyNumberFormat="1" applyFill="1" applyBorder="1" applyAlignment="1">
      <alignment horizontal="center" vertical="center"/>
    </xf>
    <xf numFmtId="43" fontId="0" fillId="4" borderId="30" xfId="1" applyNumberFormat="1" applyFont="1" applyFill="1" applyBorder="1" applyAlignment="1">
      <alignment horizontal="center" vertical="center"/>
    </xf>
    <xf numFmtId="43" fontId="0" fillId="4" borderId="14" xfId="1" applyFont="1" applyFill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 vertical="center"/>
    </xf>
    <xf numFmtId="43" fontId="9" fillId="0" borderId="28" xfId="3" applyFont="1" applyFill="1" applyBorder="1" applyAlignment="1">
      <alignment horizontal="center" vertical="center"/>
    </xf>
    <xf numFmtId="164" fontId="9" fillId="0" borderId="5" xfId="4" applyNumberFormat="1" applyFont="1" applyFill="1" applyBorder="1" applyAlignment="1">
      <alignment horizontal="center" vertical="center"/>
    </xf>
    <xf numFmtId="43" fontId="9" fillId="0" borderId="28" xfId="4" applyFont="1" applyFill="1" applyBorder="1" applyAlignment="1">
      <alignment horizontal="center" vertical="center"/>
    </xf>
    <xf numFmtId="43" fontId="0" fillId="4" borderId="29" xfId="1" applyFont="1" applyFill="1" applyBorder="1" applyAlignment="1">
      <alignment horizontal="center" vertical="center"/>
    </xf>
    <xf numFmtId="43" fontId="1" fillId="5" borderId="28" xfId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3" fontId="9" fillId="0" borderId="28" xfId="5" applyNumberFormat="1" applyFont="1" applyFill="1" applyBorder="1" applyAlignment="1">
      <alignment horizontal="center" vertical="center"/>
    </xf>
    <xf numFmtId="43" fontId="9" fillId="0" borderId="28" xfId="6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 applyProtection="1">
      <alignment horizontal="center" vertical="center"/>
    </xf>
    <xf numFmtId="43" fontId="0" fillId="0" borderId="1" xfId="1" applyFont="1" applyBorder="1" applyAlignment="1" applyProtection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5" fontId="0" fillId="0" borderId="8" xfId="1" applyNumberFormat="1" applyFont="1" applyBorder="1"/>
    <xf numFmtId="165" fontId="0" fillId="2" borderId="38" xfId="1" applyNumberFormat="1" applyFont="1" applyFill="1" applyBorder="1"/>
    <xf numFmtId="43" fontId="9" fillId="0" borderId="28" xfId="7" applyNumberFormat="1" applyFont="1" applyFill="1" applyBorder="1" applyAlignment="1">
      <alignment horizontal="center" vertical="center"/>
    </xf>
    <xf numFmtId="43" fontId="9" fillId="0" borderId="14" xfId="7" applyNumberFormat="1" applyFont="1" applyFill="1" applyBorder="1" applyAlignment="1">
      <alignment horizontal="center" vertical="center"/>
    </xf>
    <xf numFmtId="43" fontId="9" fillId="0" borderId="28" xfId="8" applyNumberFormat="1" applyFont="1" applyFill="1" applyBorder="1" applyAlignment="1">
      <alignment horizontal="center" vertical="center"/>
    </xf>
    <xf numFmtId="43" fontId="9" fillId="0" borderId="14" xfId="8" applyNumberFormat="1" applyFont="1" applyFill="1" applyBorder="1" applyAlignment="1">
      <alignment horizontal="center" vertical="center"/>
    </xf>
    <xf numFmtId="43" fontId="3" fillId="0" borderId="9" xfId="1" applyNumberFormat="1" applyFont="1" applyBorder="1"/>
    <xf numFmtId="164" fontId="0" fillId="0" borderId="9" xfId="1" applyNumberFormat="1" applyFont="1" applyBorder="1" applyProtection="1"/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43" fontId="0" fillId="0" borderId="9" xfId="1" applyFont="1" applyBorder="1" applyProtection="1"/>
    <xf numFmtId="165" fontId="0" fillId="0" borderId="8" xfId="1" applyNumberFormat="1" applyFont="1" applyBorder="1" applyProtection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9" xfId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0" fillId="5" borderId="28" xfId="0" applyNumberFormat="1" applyFont="1" applyFill="1" applyBorder="1"/>
    <xf numFmtId="9" fontId="1" fillId="5" borderId="28" xfId="0" applyNumberFormat="1" applyFont="1" applyFill="1" applyBorder="1"/>
    <xf numFmtId="165" fontId="0" fillId="4" borderId="14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1" fillId="5" borderId="28" xfId="0" applyNumberFormat="1" applyFont="1" applyFill="1" applyBorder="1"/>
    <xf numFmtId="165" fontId="1" fillId="5" borderId="6" xfId="0" applyNumberFormat="1" applyFont="1" applyFill="1" applyBorder="1"/>
    <xf numFmtId="165" fontId="0" fillId="4" borderId="29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43" fontId="3" fillId="0" borderId="42" xfId="1" applyFont="1" applyFill="1" applyBorder="1" applyAlignment="1" applyProtection="1">
      <alignment horizontal="center" vertical="center"/>
    </xf>
    <xf numFmtId="165" fontId="0" fillId="0" borderId="9" xfId="1" applyNumberFormat="1" applyFont="1" applyBorder="1" applyAlignment="1" applyProtection="1">
      <alignment horizontal="right"/>
    </xf>
    <xf numFmtId="0" fontId="1" fillId="2" borderId="15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left" vertical="center" indent="2"/>
    </xf>
    <xf numFmtId="164" fontId="0" fillId="0" borderId="1" xfId="1" applyNumberFormat="1" applyFont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left" vertical="center"/>
    </xf>
    <xf numFmtId="164" fontId="0" fillId="0" borderId="4" xfId="1" applyNumberFormat="1" applyFont="1" applyBorder="1" applyAlignment="1">
      <alignment horizontal="left" vertical="center"/>
    </xf>
    <xf numFmtId="164" fontId="1" fillId="2" borderId="2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17" fontId="1" fillId="3" borderId="35" xfId="0" applyNumberFormat="1" applyFont="1" applyFill="1" applyBorder="1" applyAlignment="1">
      <alignment horizontal="center" vertical="center"/>
    </xf>
    <xf numFmtId="17" fontId="1" fillId="3" borderId="39" xfId="0" applyNumberFormat="1" applyFont="1" applyFill="1" applyBorder="1" applyAlignment="1">
      <alignment horizontal="center" vertical="center"/>
    </xf>
    <xf numFmtId="17" fontId="1" fillId="3" borderId="19" xfId="0" applyNumberFormat="1" applyFont="1" applyFill="1" applyBorder="1" applyAlignment="1">
      <alignment horizontal="center" vertical="center"/>
    </xf>
    <xf numFmtId="17" fontId="1" fillId="3" borderId="52" xfId="0" applyNumberFormat="1" applyFont="1" applyFill="1" applyBorder="1" applyAlignment="1">
      <alignment horizontal="center" vertical="center"/>
    </xf>
    <xf numFmtId="165" fontId="0" fillId="0" borderId="12" xfId="1" applyNumberFormat="1" applyFont="1" applyBorder="1" applyProtection="1"/>
    <xf numFmtId="165" fontId="0" fillId="0" borderId="9" xfId="1" applyNumberFormat="1" applyFont="1" applyBorder="1" applyProtection="1"/>
    <xf numFmtId="43" fontId="3" fillId="0" borderId="9" xfId="1" applyNumberFormat="1" applyFont="1" applyBorder="1" applyProtection="1"/>
    <xf numFmtId="164" fontId="3" fillId="0" borderId="8" xfId="1" applyNumberFormat="1" applyFont="1" applyBorder="1" applyProtection="1"/>
    <xf numFmtId="166" fontId="0" fillId="0" borderId="0" xfId="0" applyNumberFormat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3" fillId="0" borderId="2" xfId="1" applyNumberFormat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43" fontId="0" fillId="0" borderId="14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11" xfId="1" applyNumberFormat="1" applyFont="1" applyBorder="1" applyAlignment="1">
      <alignment horizontal="center" vertical="center"/>
    </xf>
    <xf numFmtId="43" fontId="0" fillId="0" borderId="30" xfId="1" applyNumberFormat="1" applyFont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 applyProtection="1"/>
    <xf numFmtId="43" fontId="0" fillId="0" borderId="9" xfId="1" applyFont="1" applyBorder="1" applyProtection="1"/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43" fontId="0" fillId="0" borderId="9" xfId="1" applyFont="1" applyBorder="1" applyProtection="1"/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43" fontId="0" fillId="0" borderId="9" xfId="1" applyFont="1" applyBorder="1" applyProtection="1"/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 indent="1"/>
    </xf>
    <xf numFmtId="164" fontId="0" fillId="0" borderId="1" xfId="1" applyNumberFormat="1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8" xfId="1" applyNumberFormat="1" applyFont="1" applyBorder="1" applyProtection="1"/>
    <xf numFmtId="43" fontId="0" fillId="0" borderId="8" xfId="1" applyNumberFormat="1" applyFont="1" applyBorder="1" applyProtection="1"/>
    <xf numFmtId="43" fontId="0" fillId="0" borderId="8" xfId="1" applyNumberFormat="1" applyFont="1" applyBorder="1"/>
    <xf numFmtId="167" fontId="11" fillId="0" borderId="64" xfId="10" applyNumberFormat="1" applyFont="1" applyFill="1" applyBorder="1" applyAlignment="1" applyProtection="1"/>
    <xf numFmtId="167" fontId="11" fillId="0" borderId="66" xfId="10" applyNumberFormat="1" applyFont="1" applyFill="1" applyBorder="1" applyAlignment="1" applyProtection="1"/>
    <xf numFmtId="168" fontId="11" fillId="0" borderId="65" xfId="10" applyFont="1" applyFill="1" applyBorder="1" applyAlignment="1" applyProtection="1"/>
    <xf numFmtId="3" fontId="11" fillId="0" borderId="66" xfId="10" applyNumberFormat="1" applyFont="1" applyFill="1" applyBorder="1" applyAlignment="1" applyProtection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 applyProtection="1">
      <alignment horizontal="center" vertical="center"/>
    </xf>
    <xf numFmtId="164" fontId="0" fillId="0" borderId="2" xfId="1" applyNumberFormat="1" applyFont="1" applyBorder="1" applyAlignment="1" applyProtection="1">
      <alignment horizontal="center" vertical="center"/>
    </xf>
    <xf numFmtId="164" fontId="0" fillId="0" borderId="3" xfId="1" applyNumberFormat="1" applyFont="1" applyBorder="1" applyAlignment="1" applyProtection="1">
      <alignment horizontal="center" vertical="center"/>
    </xf>
    <xf numFmtId="43" fontId="0" fillId="0" borderId="4" xfId="1" applyFont="1" applyBorder="1" applyAlignment="1" applyProtection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 applyProtection="1">
      <alignment horizontal="center" vertical="center"/>
    </xf>
    <xf numFmtId="164" fontId="0" fillId="0" borderId="2" xfId="1" applyNumberFormat="1" applyFont="1" applyBorder="1" applyAlignment="1" applyProtection="1">
      <alignment horizontal="center" vertical="center"/>
    </xf>
    <xf numFmtId="164" fontId="0" fillId="0" borderId="3" xfId="1" applyNumberFormat="1" applyFont="1" applyBorder="1" applyAlignment="1" applyProtection="1">
      <alignment horizontal="center" vertical="center"/>
    </xf>
    <xf numFmtId="43" fontId="0" fillId="0" borderId="4" xfId="1" applyFont="1" applyBorder="1" applyAlignment="1" applyProtection="1">
      <alignment horizontal="center" vertical="center"/>
    </xf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43" fontId="0" fillId="0" borderId="9" xfId="1" applyFont="1" applyBorder="1" applyProtection="1"/>
    <xf numFmtId="49" fontId="1" fillId="3" borderId="15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2" borderId="8" xfId="1" applyNumberFormat="1" applyFont="1" applyFill="1" applyBorder="1"/>
    <xf numFmtId="165" fontId="0" fillId="2" borderId="36" xfId="1" applyNumberFormat="1" applyFont="1" applyFill="1" applyBorder="1"/>
    <xf numFmtId="0" fontId="1" fillId="3" borderId="4" xfId="0" applyFont="1" applyFill="1" applyBorder="1" applyAlignment="1">
      <alignment horizontal="center" vertical="center"/>
    </xf>
    <xf numFmtId="173" fontId="0" fillId="0" borderId="8" xfId="1" applyNumberFormat="1" applyFont="1" applyBorder="1" applyAlignment="1" applyProtection="1"/>
    <xf numFmtId="173" fontId="0" fillId="0" borderId="12" xfId="1" applyNumberFormat="1" applyFont="1" applyBorder="1" applyAlignment="1" applyProtection="1"/>
    <xf numFmtId="172" fontId="0" fillId="0" borderId="9" xfId="1" applyNumberFormat="1" applyFont="1" applyBorder="1" applyAlignment="1" applyProtection="1"/>
    <xf numFmtId="173" fontId="0" fillId="0" borderId="2" xfId="1" applyNumberFormat="1" applyFont="1" applyBorder="1" applyAlignment="1" applyProtection="1">
      <alignment horizontal="center" vertical="center"/>
    </xf>
    <xf numFmtId="172" fontId="0" fillId="0" borderId="1" xfId="1" applyNumberFormat="1" applyFont="1" applyBorder="1" applyAlignment="1" applyProtection="1">
      <alignment horizontal="center" vertical="center"/>
    </xf>
    <xf numFmtId="173" fontId="0" fillId="0" borderId="3" xfId="1" applyNumberFormat="1" applyFont="1" applyBorder="1" applyAlignment="1" applyProtection="1">
      <alignment horizontal="center" vertical="center"/>
    </xf>
    <xf numFmtId="172" fontId="0" fillId="0" borderId="4" xfId="1" applyNumberFormat="1" applyFont="1" applyBorder="1" applyAlignment="1" applyProtection="1">
      <alignment horizontal="center" vertical="center"/>
    </xf>
    <xf numFmtId="175" fontId="0" fillId="0" borderId="8" xfId="23" applyNumberFormat="1" applyFont="1" applyBorder="1" applyAlignment="1" applyProtection="1"/>
    <xf numFmtId="175" fontId="0" fillId="0" borderId="12" xfId="23" applyNumberFormat="1" applyFont="1" applyBorder="1" applyAlignment="1" applyProtection="1"/>
    <xf numFmtId="174" fontId="0" fillId="0" borderId="9" xfId="23" applyNumberFormat="1" applyFont="1" applyBorder="1" applyAlignment="1" applyProtection="1"/>
    <xf numFmtId="167" fontId="11" fillId="0" borderId="67" xfId="24" applyNumberFormat="1" applyFont="1" applyFill="1" applyBorder="1" applyAlignment="1" applyProtection="1"/>
    <xf numFmtId="168" fontId="11" fillId="0" borderId="67" xfId="24" applyFont="1" applyFill="1" applyBorder="1" applyAlignment="1" applyProtection="1"/>
    <xf numFmtId="173" fontId="15" fillId="0" borderId="2" xfId="26" applyNumberFormat="1" applyFont="1" applyBorder="1" applyAlignment="1" applyProtection="1">
      <alignment horizontal="center" vertical="center"/>
    </xf>
    <xf numFmtId="172" fontId="15" fillId="0" borderId="1" xfId="26" applyFont="1" applyBorder="1" applyAlignment="1" applyProtection="1">
      <alignment horizontal="center" vertical="center"/>
    </xf>
    <xf numFmtId="173" fontId="15" fillId="0" borderId="3" xfId="26" applyNumberFormat="1" applyFont="1" applyBorder="1" applyAlignment="1" applyProtection="1">
      <alignment horizontal="center" vertical="center"/>
    </xf>
    <xf numFmtId="173" fontId="15" fillId="0" borderId="2" xfId="26" applyNumberFormat="1" applyFont="1" applyBorder="1" applyAlignment="1" applyProtection="1">
      <alignment horizontal="center" vertical="center"/>
    </xf>
    <xf numFmtId="172" fontId="15" fillId="0" borderId="1" xfId="26" applyFont="1" applyBorder="1" applyAlignment="1" applyProtection="1">
      <alignment horizontal="center" vertical="center"/>
    </xf>
    <xf numFmtId="173" fontId="15" fillId="0" borderId="3" xfId="26" applyNumberFormat="1" applyFont="1" applyBorder="1" applyAlignment="1" applyProtection="1">
      <alignment horizontal="center" vertical="center"/>
    </xf>
    <xf numFmtId="173" fontId="15" fillId="0" borderId="8" xfId="26" applyNumberFormat="1" applyFont="1" applyBorder="1" applyAlignment="1" applyProtection="1"/>
    <xf numFmtId="173" fontId="15" fillId="0" borderId="12" xfId="26" applyNumberFormat="1" applyFont="1" applyBorder="1" applyAlignment="1" applyProtection="1"/>
    <xf numFmtId="172" fontId="15" fillId="0" borderId="9" xfId="26" applyFont="1" applyBorder="1" applyAlignment="1" applyProtection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8" fontId="1" fillId="2" borderId="36" xfId="1" applyNumberFormat="1" applyFont="1" applyFill="1" applyBorder="1" applyAlignment="1">
      <alignment horizontal="center" vertical="center"/>
    </xf>
    <xf numFmtId="8" fontId="3" fillId="0" borderId="8" xfId="1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8" fontId="3" fillId="0" borderId="9" xfId="1" applyNumberFormat="1" applyFont="1" applyFill="1" applyBorder="1" applyAlignment="1">
      <alignment horizontal="center" vertical="center"/>
    </xf>
    <xf numFmtId="6" fontId="0" fillId="0" borderId="12" xfId="1" applyNumberFormat="1" applyFont="1" applyFill="1" applyBorder="1" applyAlignment="1">
      <alignment horizontal="center" vertical="center"/>
    </xf>
    <xf numFmtId="165" fontId="0" fillId="0" borderId="9" xfId="1" applyNumberFormat="1" applyFont="1" applyBorder="1" applyAlignment="1" applyProtection="1">
      <alignment horizontal="right"/>
    </xf>
    <xf numFmtId="173" fontId="0" fillId="0" borderId="2" xfId="26" applyNumberFormat="1" applyFont="1" applyBorder="1" applyAlignment="1" applyProtection="1">
      <alignment horizontal="center" vertical="center"/>
    </xf>
    <xf numFmtId="172" fontId="0" fillId="0" borderId="1" xfId="26" applyFont="1" applyBorder="1" applyAlignment="1" applyProtection="1">
      <alignment horizontal="center" vertical="center"/>
    </xf>
    <xf numFmtId="173" fontId="0" fillId="0" borderId="3" xfId="26" applyNumberFormat="1" applyFont="1" applyBorder="1" applyAlignment="1" applyProtection="1">
      <alignment horizontal="center" vertical="center"/>
    </xf>
    <xf numFmtId="172" fontId="0" fillId="0" borderId="4" xfId="26" applyFont="1" applyBorder="1" applyAlignment="1" applyProtection="1">
      <alignment horizontal="center" vertical="center"/>
    </xf>
    <xf numFmtId="43" fontId="17" fillId="0" borderId="14" xfId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0" fontId="0" fillId="0" borderId="0" xfId="2" applyNumberFormat="1" applyFont="1"/>
    <xf numFmtId="10" fontId="1" fillId="2" borderId="0" xfId="2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1" fillId="3" borderId="5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" fontId="1" fillId="3" borderId="15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indent="3"/>
    </xf>
    <xf numFmtId="0" fontId="1" fillId="2" borderId="56" xfId="0" applyFont="1" applyFill="1" applyBorder="1" applyAlignment="1">
      <alignment horizontal="left" indent="3"/>
    </xf>
    <xf numFmtId="0" fontId="0" fillId="2" borderId="33" xfId="0" applyFill="1" applyBorder="1" applyAlignment="1">
      <alignment horizontal="left" indent="3"/>
    </xf>
    <xf numFmtId="0" fontId="0" fillId="2" borderId="56" xfId="0" applyFill="1" applyBorder="1" applyAlignment="1">
      <alignment horizontal="left" indent="3"/>
    </xf>
    <xf numFmtId="0" fontId="0" fillId="2" borderId="41" xfId="0" applyFill="1" applyBorder="1" applyAlignment="1">
      <alignment horizontal="left" indent="3"/>
    </xf>
    <xf numFmtId="0" fontId="0" fillId="2" borderId="57" xfId="0" applyFill="1" applyBorder="1" applyAlignment="1">
      <alignment horizontal="left" indent="3"/>
    </xf>
    <xf numFmtId="0" fontId="0" fillId="0" borderId="4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indent="3"/>
    </xf>
    <xf numFmtId="0" fontId="1" fillId="2" borderId="49" xfId="0" applyFont="1" applyFill="1" applyBorder="1" applyAlignment="1">
      <alignment horizontal="left" indent="3"/>
    </xf>
    <xf numFmtId="0" fontId="1" fillId="2" borderId="50" xfId="0" applyFont="1" applyFill="1" applyBorder="1" applyAlignment="1">
      <alignment horizontal="left" indent="3"/>
    </xf>
    <xf numFmtId="0" fontId="1" fillId="2" borderId="29" xfId="0" applyFont="1" applyFill="1" applyBorder="1" applyAlignment="1">
      <alignment horizontal="left" indent="3"/>
    </xf>
    <xf numFmtId="0" fontId="0" fillId="0" borderId="59" xfId="0" applyFont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indent="3"/>
    </xf>
    <xf numFmtId="0" fontId="8" fillId="5" borderId="34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3"/>
    </xf>
    <xf numFmtId="0" fontId="1" fillId="2" borderId="3" xfId="0" applyFont="1" applyFill="1" applyBorder="1" applyAlignment="1">
      <alignment horizontal="left" indent="3"/>
    </xf>
    <xf numFmtId="0" fontId="1" fillId="5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indent="3"/>
    </xf>
    <xf numFmtId="0" fontId="1" fillId="2" borderId="58" xfId="0" applyFont="1" applyFill="1" applyBorder="1" applyAlignment="1">
      <alignment horizontal="left" indent="3"/>
    </xf>
    <xf numFmtId="0" fontId="0" fillId="4" borderId="14" xfId="0" applyFill="1" applyBorder="1" applyAlignment="1">
      <alignment horizontal="left" indent="3"/>
    </xf>
    <xf numFmtId="0" fontId="1" fillId="3" borderId="61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left" indent="3"/>
    </xf>
    <xf numFmtId="0" fontId="0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</cellXfs>
  <cellStyles count="29">
    <cellStyle name="Excel Built-in Comma" xfId="10"/>
    <cellStyle name="Excel Built-in Comma 1" xfId="24"/>
    <cellStyle name="Excel Built-in Normal" xfId="11"/>
    <cellStyle name="Excel Built-in Percent" xfId="12"/>
    <cellStyle name="Heading" xfId="13"/>
    <cellStyle name="Heading1" xfId="14"/>
    <cellStyle name="Normal" xfId="0" builtinId="0"/>
    <cellStyle name="Normal 2" xfId="9"/>
    <cellStyle name="Normal 3" xfId="25"/>
    <cellStyle name="Porcentagem" xfId="2" builtinId="5"/>
    <cellStyle name="Porcentagem 2" xfId="27"/>
    <cellStyle name="Result" xfId="15"/>
    <cellStyle name="Result2" xfId="16"/>
    <cellStyle name="Separador de milhares" xfId="1" builtinId="3"/>
    <cellStyle name="Separador de milhares 2" xfId="3"/>
    <cellStyle name="Separador de milhares 2 2" xfId="17"/>
    <cellStyle name="Separador de milhares 3" xfId="4"/>
    <cellStyle name="Separador de milhares 3 2" xfId="18"/>
    <cellStyle name="Separador de milhares 4" xfId="5"/>
    <cellStyle name="Separador de milhares 4 2" xfId="19"/>
    <cellStyle name="Separador de milhares 5" xfId="6"/>
    <cellStyle name="Separador de milhares 5 2" xfId="20"/>
    <cellStyle name="Separador de milhares 6" xfId="7"/>
    <cellStyle name="Separador de milhares 6 2" xfId="21"/>
    <cellStyle name="Separador de milhares 7" xfId="8"/>
    <cellStyle name="Separador de milhares 7 2" xfId="22"/>
    <cellStyle name="Separador de milhares 8" xfId="26"/>
    <cellStyle name="Texto Explicativo" xfId="23" builtinId="53"/>
    <cellStyle name="Texto Explicativo 2" xfId="28"/>
  </cellStyles>
  <dxfs count="0"/>
  <tableStyles count="0" defaultTableStyle="TableStyleMedium9" defaultPivotStyle="PivotStyleLight16"/>
  <colors>
    <mruColors>
      <color rgb="FFE8FFD1"/>
      <color rgb="FFCCFF99"/>
      <color rgb="FF87F99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448236</xdr:colOff>
      <xdr:row>0</xdr:row>
      <xdr:rowOff>0</xdr:rowOff>
    </xdr:from>
    <xdr:to>
      <xdr:col>26</xdr:col>
      <xdr:colOff>832597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26736" y="0"/>
          <a:ext cx="355562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87967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"/>
          <a:ext cx="2047874" cy="74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1075766</xdr:colOff>
      <xdr:row>0</xdr:row>
      <xdr:rowOff>0</xdr:rowOff>
    </xdr:from>
    <xdr:to>
      <xdr:col>7</xdr:col>
      <xdr:colOff>806825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2325" y="0"/>
          <a:ext cx="3260912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347382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454088" cy="736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1064560</xdr:colOff>
      <xdr:row>0</xdr:row>
      <xdr:rowOff>0</xdr:rowOff>
    </xdr:from>
    <xdr:to>
      <xdr:col>7</xdr:col>
      <xdr:colOff>806823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1119" y="0"/>
          <a:ext cx="3272116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403412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510118" cy="7361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1086972</xdr:colOff>
      <xdr:row>0</xdr:row>
      <xdr:rowOff>0</xdr:rowOff>
    </xdr:from>
    <xdr:to>
      <xdr:col>7</xdr:col>
      <xdr:colOff>806824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31" y="0"/>
          <a:ext cx="3249705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302558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409264" cy="7361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313765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35383" y="0"/>
          <a:ext cx="3843618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347384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"/>
          <a:ext cx="2308412" cy="7361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851648</xdr:colOff>
      <xdr:row>0</xdr:row>
      <xdr:rowOff>0</xdr:rowOff>
    </xdr:from>
    <xdr:to>
      <xdr:col>8</xdr:col>
      <xdr:colOff>829235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4824" y="0"/>
          <a:ext cx="3171264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201706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308412" cy="7361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781050</xdr:colOff>
      <xdr:row>0</xdr:row>
      <xdr:rowOff>0</xdr:rowOff>
    </xdr:from>
    <xdr:to>
      <xdr:col>14</xdr:col>
      <xdr:colOff>1016373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0"/>
          <a:ext cx="337857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276475" cy="7439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0</xdr:rowOff>
    </xdr:from>
    <xdr:to>
      <xdr:col>6</xdr:col>
      <xdr:colOff>578223</xdr:colOff>
      <xdr:row>2</xdr:row>
      <xdr:rowOff>104775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0"/>
          <a:ext cx="298804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104775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209800" cy="695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628651</xdr:colOff>
      <xdr:row>0</xdr:row>
      <xdr:rowOff>0</xdr:rowOff>
    </xdr:from>
    <xdr:to>
      <xdr:col>6</xdr:col>
      <xdr:colOff>578224</xdr:colOff>
      <xdr:row>2</xdr:row>
      <xdr:rowOff>104775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6" y="0"/>
          <a:ext cx="254989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104775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20980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1165412</xdr:colOff>
      <xdr:row>0</xdr:row>
      <xdr:rowOff>0</xdr:rowOff>
    </xdr:from>
    <xdr:to>
      <xdr:col>7</xdr:col>
      <xdr:colOff>683558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6294" y="0"/>
          <a:ext cx="3047999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134471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095500" cy="743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1165413</xdr:colOff>
      <xdr:row>0</xdr:row>
      <xdr:rowOff>0</xdr:rowOff>
    </xdr:from>
    <xdr:to>
      <xdr:col>7</xdr:col>
      <xdr:colOff>694764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6295" y="0"/>
          <a:ext cx="3059204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134471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095500" cy="743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1154206</xdr:colOff>
      <xdr:row>0</xdr:row>
      <xdr:rowOff>0</xdr:rowOff>
    </xdr:from>
    <xdr:to>
      <xdr:col>7</xdr:col>
      <xdr:colOff>818029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7853" y="0"/>
          <a:ext cx="319367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224118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117912" cy="7439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134470</xdr:colOff>
      <xdr:row>0</xdr:row>
      <xdr:rowOff>0</xdr:rowOff>
    </xdr:from>
    <xdr:to>
      <xdr:col>15</xdr:col>
      <xdr:colOff>1299881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07970" y="0"/>
          <a:ext cx="3653117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168088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129117" cy="7439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1143000</xdr:colOff>
      <xdr:row>0</xdr:row>
      <xdr:rowOff>0</xdr:rowOff>
    </xdr:from>
    <xdr:to>
      <xdr:col>14</xdr:col>
      <xdr:colOff>1255059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7088" y="0"/>
          <a:ext cx="3641912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246529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207558" cy="7439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90663</xdr:colOff>
      <xdr:row>0</xdr:row>
      <xdr:rowOff>0</xdr:rowOff>
    </xdr:from>
    <xdr:to>
      <xdr:col>15</xdr:col>
      <xdr:colOff>1131794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33957" y="0"/>
          <a:ext cx="341677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493058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431676" cy="7439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146693</xdr:colOff>
      <xdr:row>0</xdr:row>
      <xdr:rowOff>0</xdr:rowOff>
    </xdr:from>
    <xdr:to>
      <xdr:col>11</xdr:col>
      <xdr:colOff>990599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33743" y="0"/>
          <a:ext cx="272033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133349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238374" cy="7439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44823</xdr:colOff>
      <xdr:row>0</xdr:row>
      <xdr:rowOff>1</xdr:rowOff>
    </xdr:from>
    <xdr:to>
      <xdr:col>14</xdr:col>
      <xdr:colOff>862853</xdr:colOff>
      <xdr:row>3</xdr:row>
      <xdr:rowOff>162875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94676" y="1"/>
          <a:ext cx="3574677" cy="73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268941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2229970" cy="74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56"/>
  <sheetViews>
    <sheetView topLeftCell="G16" zoomScale="85" zoomScaleNormal="85" workbookViewId="0">
      <selection activeCell="AD42" sqref="AD42"/>
    </sheetView>
  </sheetViews>
  <sheetFormatPr defaultRowHeight="15"/>
  <cols>
    <col min="1" max="1" width="29.42578125" customWidth="1"/>
    <col min="2" max="2" width="10.7109375" customWidth="1"/>
    <col min="3" max="3" width="13" customWidth="1"/>
    <col min="4" max="4" width="10.7109375" customWidth="1"/>
    <col min="5" max="5" width="13" customWidth="1"/>
    <col min="6" max="6" width="10.7109375" customWidth="1"/>
    <col min="7" max="7" width="13" customWidth="1"/>
    <col min="8" max="8" width="10.7109375" customWidth="1"/>
    <col min="9" max="9" width="13" customWidth="1"/>
    <col min="10" max="10" width="10.7109375" customWidth="1"/>
    <col min="11" max="11" width="13" customWidth="1"/>
    <col min="12" max="12" width="10.7109375" customWidth="1"/>
    <col min="13" max="13" width="13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  <col min="26" max="26" width="10.85546875" customWidth="1"/>
    <col min="27" max="27" width="13" customWidth="1"/>
  </cols>
  <sheetData>
    <row r="1" spans="1:29" ht="15" customHeight="1">
      <c r="C1" s="511" t="s">
        <v>0</v>
      </c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9" ht="15" customHeight="1"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</row>
    <row r="3" spans="1:29">
      <c r="C3" s="512" t="s">
        <v>25</v>
      </c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</row>
    <row r="4" spans="1:29"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</row>
    <row r="5" spans="1:29" ht="6.75" customHeight="1"/>
    <row r="6" spans="1:29">
      <c r="A6" s="31" t="s">
        <v>1</v>
      </c>
    </row>
    <row r="7" spans="1:29">
      <c r="A7" s="31" t="s">
        <v>2</v>
      </c>
    </row>
    <row r="8" spans="1:29" ht="15.75" thickBot="1">
      <c r="A8" s="31" t="s">
        <v>3</v>
      </c>
    </row>
    <row r="9" spans="1:29">
      <c r="A9" s="514" t="s">
        <v>4</v>
      </c>
      <c r="B9" s="513">
        <v>43466</v>
      </c>
      <c r="C9" s="510"/>
      <c r="D9" s="513">
        <v>43497</v>
      </c>
      <c r="E9" s="510"/>
      <c r="F9" s="513">
        <v>43525</v>
      </c>
      <c r="G9" s="510"/>
      <c r="H9" s="513">
        <v>43556</v>
      </c>
      <c r="I9" s="510"/>
      <c r="J9" s="513">
        <v>43586</v>
      </c>
      <c r="K9" s="510"/>
      <c r="L9" s="513">
        <v>43617</v>
      </c>
      <c r="M9" s="510"/>
      <c r="N9" s="513">
        <v>43647</v>
      </c>
      <c r="O9" s="510"/>
      <c r="P9" s="513">
        <v>43678</v>
      </c>
      <c r="Q9" s="510"/>
      <c r="R9" s="513">
        <v>43709</v>
      </c>
      <c r="S9" s="510"/>
      <c r="T9" s="513">
        <v>43739</v>
      </c>
      <c r="U9" s="510"/>
      <c r="V9" s="513">
        <v>43770</v>
      </c>
      <c r="W9" s="510"/>
      <c r="X9" s="513">
        <v>43800</v>
      </c>
      <c r="Y9" s="510"/>
      <c r="Z9" s="509" t="s">
        <v>300</v>
      </c>
      <c r="AA9" s="510"/>
    </row>
    <row r="10" spans="1:29" ht="15.75" thickBot="1">
      <c r="A10" s="515"/>
      <c r="B10" s="7" t="s">
        <v>5</v>
      </c>
      <c r="C10" s="8" t="s">
        <v>147</v>
      </c>
      <c r="D10" s="7" t="s">
        <v>5</v>
      </c>
      <c r="E10" s="8" t="s">
        <v>147</v>
      </c>
      <c r="F10" s="7" t="s">
        <v>5</v>
      </c>
      <c r="G10" s="8" t="s">
        <v>147</v>
      </c>
      <c r="H10" s="7" t="s">
        <v>5</v>
      </c>
      <c r="I10" s="8" t="s">
        <v>147</v>
      </c>
      <c r="J10" s="7" t="s">
        <v>5</v>
      </c>
      <c r="K10" s="8" t="s">
        <v>147</v>
      </c>
      <c r="L10" s="7" t="s">
        <v>5</v>
      </c>
      <c r="M10" s="8" t="s">
        <v>147</v>
      </c>
      <c r="N10" s="7" t="s">
        <v>5</v>
      </c>
      <c r="O10" s="8" t="s">
        <v>147</v>
      </c>
      <c r="P10" s="7" t="s">
        <v>5</v>
      </c>
      <c r="Q10" s="8" t="s">
        <v>147</v>
      </c>
      <c r="R10" s="7" t="s">
        <v>5</v>
      </c>
      <c r="S10" s="8" t="s">
        <v>147</v>
      </c>
      <c r="T10" s="7" t="s">
        <v>5</v>
      </c>
      <c r="U10" s="8" t="s">
        <v>147</v>
      </c>
      <c r="V10" s="7" t="s">
        <v>5</v>
      </c>
      <c r="W10" s="8" t="s">
        <v>147</v>
      </c>
      <c r="X10" s="7" t="s">
        <v>5</v>
      </c>
      <c r="Y10" s="8" t="s">
        <v>147</v>
      </c>
      <c r="Z10" s="7" t="s">
        <v>5</v>
      </c>
      <c r="AA10" s="8" t="s">
        <v>147</v>
      </c>
    </row>
    <row r="11" spans="1:29">
      <c r="A11" s="4" t="s">
        <v>6</v>
      </c>
      <c r="B11" s="14">
        <f>SUM(B12:B19)</f>
        <v>7</v>
      </c>
      <c r="C11" s="9">
        <f t="shared" ref="C11:Y11" si="0">SUM(C12:C19)</f>
        <v>129.43</v>
      </c>
      <c r="D11" s="14">
        <f t="shared" si="0"/>
        <v>1</v>
      </c>
      <c r="E11" s="9">
        <f t="shared" si="0"/>
        <v>18.489999999999998</v>
      </c>
      <c r="F11" s="14">
        <f t="shared" si="0"/>
        <v>5</v>
      </c>
      <c r="G11" s="9">
        <f t="shared" si="0"/>
        <v>92.45</v>
      </c>
      <c r="H11" s="14">
        <f t="shared" si="0"/>
        <v>7</v>
      </c>
      <c r="I11" s="9">
        <f t="shared" si="0"/>
        <v>129.43</v>
      </c>
      <c r="J11" s="14">
        <f t="shared" si="0"/>
        <v>25</v>
      </c>
      <c r="K11" s="9">
        <f t="shared" si="0"/>
        <v>462.25</v>
      </c>
      <c r="L11" s="14">
        <f t="shared" si="0"/>
        <v>3</v>
      </c>
      <c r="M11" s="9">
        <f t="shared" si="0"/>
        <v>55.47</v>
      </c>
      <c r="N11" s="14">
        <f t="shared" si="0"/>
        <v>9</v>
      </c>
      <c r="O11" s="9">
        <f t="shared" si="0"/>
        <v>166.41</v>
      </c>
      <c r="P11" s="14">
        <f t="shared" si="0"/>
        <v>16</v>
      </c>
      <c r="Q11" s="9">
        <f t="shared" si="0"/>
        <v>295.83999999999997</v>
      </c>
      <c r="R11" s="14">
        <f t="shared" si="0"/>
        <v>9</v>
      </c>
      <c r="S11" s="9">
        <f t="shared" si="0"/>
        <v>166.41</v>
      </c>
      <c r="T11" s="14">
        <f>SUM(T12:T19)</f>
        <v>5</v>
      </c>
      <c r="U11" s="9">
        <f t="shared" si="0"/>
        <v>92.449999999999989</v>
      </c>
      <c r="V11" s="14">
        <f t="shared" si="0"/>
        <v>4</v>
      </c>
      <c r="W11" s="9">
        <f t="shared" si="0"/>
        <v>73.959999999999994</v>
      </c>
      <c r="X11" s="14">
        <f t="shared" si="0"/>
        <v>2</v>
      </c>
      <c r="Y11" s="9">
        <f t="shared" si="0"/>
        <v>36.979999999999997</v>
      </c>
      <c r="Z11" s="14">
        <f>SUM(Z12:Z19)</f>
        <v>93</v>
      </c>
      <c r="AA11" s="9">
        <f>SUM(AA12:AA19)</f>
        <v>1719.5700000000002</v>
      </c>
    </row>
    <row r="12" spans="1:29">
      <c r="A12" s="27" t="s">
        <v>7</v>
      </c>
      <c r="B12" s="435">
        <v>0</v>
      </c>
      <c r="C12" s="434">
        <v>0</v>
      </c>
      <c r="D12" s="455">
        <v>0</v>
      </c>
      <c r="E12" s="454">
        <v>0</v>
      </c>
      <c r="F12" s="455">
        <v>0</v>
      </c>
      <c r="G12" s="454">
        <v>0</v>
      </c>
      <c r="H12" s="455">
        <v>0</v>
      </c>
      <c r="I12" s="454">
        <v>0</v>
      </c>
      <c r="J12" s="455">
        <v>0</v>
      </c>
      <c r="K12" s="454">
        <v>0</v>
      </c>
      <c r="L12" s="455">
        <v>0</v>
      </c>
      <c r="M12" s="454">
        <v>0</v>
      </c>
      <c r="N12" s="455">
        <v>0</v>
      </c>
      <c r="O12" s="454">
        <v>0</v>
      </c>
      <c r="P12" s="455">
        <v>0</v>
      </c>
      <c r="Q12" s="454">
        <v>0</v>
      </c>
      <c r="R12" s="455">
        <v>0</v>
      </c>
      <c r="S12" s="454">
        <v>0</v>
      </c>
      <c r="T12" s="317">
        <v>0</v>
      </c>
      <c r="U12" s="318">
        <v>0</v>
      </c>
      <c r="V12" s="492">
        <v>0</v>
      </c>
      <c r="W12" s="491">
        <v>0</v>
      </c>
      <c r="X12" s="15">
        <v>0</v>
      </c>
      <c r="Y12" s="10">
        <v>0</v>
      </c>
      <c r="Z12" s="42">
        <f>B12+D12+F12+H12+J12+L12+N12+P12+R12+T12+V12+X12</f>
        <v>0</v>
      </c>
      <c r="AA12" s="43">
        <f>C12+E12+G12+I12+K12+M12+O12+Q12+S12+U12+W12+Y12</f>
        <v>0</v>
      </c>
      <c r="AB12" s="365">
        <f>Z12+Z34</f>
        <v>37</v>
      </c>
      <c r="AC12" t="str">
        <f>A12</f>
        <v>Diretoria do Foro</v>
      </c>
    </row>
    <row r="13" spans="1:29">
      <c r="A13" s="27" t="s">
        <v>8</v>
      </c>
      <c r="B13" s="435">
        <v>2</v>
      </c>
      <c r="C13" s="434">
        <v>36.979999999999997</v>
      </c>
      <c r="D13" s="455">
        <v>1</v>
      </c>
      <c r="E13" s="454">
        <v>18.489999999999998</v>
      </c>
      <c r="F13" s="455">
        <v>0</v>
      </c>
      <c r="G13" s="454">
        <v>0</v>
      </c>
      <c r="H13" s="455">
        <v>0</v>
      </c>
      <c r="I13" s="454">
        <v>0</v>
      </c>
      <c r="J13" s="455">
        <v>10</v>
      </c>
      <c r="K13" s="454">
        <v>184.9</v>
      </c>
      <c r="L13" s="455">
        <v>3</v>
      </c>
      <c r="M13" s="454">
        <v>55.47</v>
      </c>
      <c r="N13" s="455">
        <v>0</v>
      </c>
      <c r="O13" s="454">
        <v>0</v>
      </c>
      <c r="P13" s="455">
        <v>1</v>
      </c>
      <c r="Q13" s="454">
        <v>18.489999999999998</v>
      </c>
      <c r="R13" s="455">
        <v>5</v>
      </c>
      <c r="S13" s="454">
        <v>92.45</v>
      </c>
      <c r="T13" s="317">
        <v>1</v>
      </c>
      <c r="U13" s="318">
        <v>18.489999999999998</v>
      </c>
      <c r="V13" s="492">
        <v>1</v>
      </c>
      <c r="W13" s="491">
        <v>18.489999999999998</v>
      </c>
      <c r="X13" s="15">
        <v>0</v>
      </c>
      <c r="Y13" s="10">
        <v>0</v>
      </c>
      <c r="Z13" s="42">
        <f t="shared" ref="Z13:Z19" si="1">B13+D13+F13+H13+J13+L13+N13+P13+R13+T13+V13+X13</f>
        <v>24</v>
      </c>
      <c r="AA13" s="43">
        <f t="shared" ref="AA13:AA19" si="2">C13+E13+G13+I13+K13+M13+O13+Q13+S13+U13+W13+Y13</f>
        <v>443.76000000000005</v>
      </c>
      <c r="AB13" s="365">
        <f t="shared" ref="AB13:AB26" si="3">Z13+Z35</f>
        <v>332</v>
      </c>
      <c r="AC13" s="141" t="str">
        <f t="shared" ref="AC13:AC25" si="4">A13</f>
        <v>Secretaria Administrativa</v>
      </c>
    </row>
    <row r="14" spans="1:29">
      <c r="A14" s="27" t="s">
        <v>9</v>
      </c>
      <c r="B14" s="435">
        <v>0</v>
      </c>
      <c r="C14" s="434">
        <v>0</v>
      </c>
      <c r="D14" s="455">
        <v>0</v>
      </c>
      <c r="E14" s="454">
        <v>0</v>
      </c>
      <c r="F14" s="455">
        <v>0</v>
      </c>
      <c r="G14" s="454">
        <v>0</v>
      </c>
      <c r="H14" s="455">
        <v>5</v>
      </c>
      <c r="I14" s="454">
        <v>92.45</v>
      </c>
      <c r="J14" s="455">
        <v>0</v>
      </c>
      <c r="K14" s="454">
        <v>0</v>
      </c>
      <c r="L14" s="455">
        <v>0</v>
      </c>
      <c r="M14" s="454">
        <v>0</v>
      </c>
      <c r="N14" s="455">
        <v>0</v>
      </c>
      <c r="O14" s="454">
        <v>0</v>
      </c>
      <c r="P14" s="455">
        <v>0</v>
      </c>
      <c r="Q14" s="454">
        <v>0</v>
      </c>
      <c r="R14" s="455">
        <v>0</v>
      </c>
      <c r="S14" s="454">
        <v>0</v>
      </c>
      <c r="T14" s="317">
        <v>0</v>
      </c>
      <c r="U14" s="318">
        <v>0</v>
      </c>
      <c r="V14" s="492">
        <v>0</v>
      </c>
      <c r="W14" s="491">
        <v>0</v>
      </c>
      <c r="X14" s="15">
        <v>0</v>
      </c>
      <c r="Y14" s="10">
        <v>0</v>
      </c>
      <c r="Z14" s="42">
        <f t="shared" si="1"/>
        <v>5</v>
      </c>
      <c r="AA14" s="43">
        <f t="shared" si="2"/>
        <v>92.45</v>
      </c>
      <c r="AB14" s="365">
        <f t="shared" si="3"/>
        <v>105</v>
      </c>
      <c r="AC14" s="141" t="str">
        <f t="shared" si="4"/>
        <v>1ª Vara Federal</v>
      </c>
    </row>
    <row r="15" spans="1:29">
      <c r="A15" s="27" t="s">
        <v>10</v>
      </c>
      <c r="B15" s="435">
        <v>0</v>
      </c>
      <c r="C15" s="434">
        <v>0</v>
      </c>
      <c r="D15" s="455">
        <v>0</v>
      </c>
      <c r="E15" s="454">
        <v>0</v>
      </c>
      <c r="F15" s="455">
        <v>0</v>
      </c>
      <c r="G15" s="454">
        <v>0</v>
      </c>
      <c r="H15" s="455">
        <v>0</v>
      </c>
      <c r="I15" s="454">
        <v>0</v>
      </c>
      <c r="J15" s="455">
        <v>4</v>
      </c>
      <c r="K15" s="454">
        <v>73.959999999999994</v>
      </c>
      <c r="L15" s="455">
        <v>0</v>
      </c>
      <c r="M15" s="454">
        <v>0</v>
      </c>
      <c r="N15" s="455">
        <v>0</v>
      </c>
      <c r="O15" s="454">
        <v>0</v>
      </c>
      <c r="P15" s="455">
        <v>4</v>
      </c>
      <c r="Q15" s="454">
        <v>73.959999999999994</v>
      </c>
      <c r="R15" s="455">
        <v>0</v>
      </c>
      <c r="S15" s="454">
        <v>0</v>
      </c>
      <c r="T15" s="15">
        <v>0</v>
      </c>
      <c r="U15" s="10">
        <v>0</v>
      </c>
      <c r="V15" s="492">
        <v>0</v>
      </c>
      <c r="W15" s="491">
        <v>0</v>
      </c>
      <c r="X15" s="15">
        <v>0</v>
      </c>
      <c r="Y15" s="10">
        <v>0</v>
      </c>
      <c r="Z15" s="42">
        <f t="shared" si="1"/>
        <v>8</v>
      </c>
      <c r="AA15" s="43">
        <f t="shared" si="2"/>
        <v>147.91999999999999</v>
      </c>
      <c r="AB15" s="365">
        <f t="shared" si="3"/>
        <v>103</v>
      </c>
      <c r="AC15" s="141" t="str">
        <f t="shared" si="4"/>
        <v>2ª Vara Federal</v>
      </c>
    </row>
    <row r="16" spans="1:29">
      <c r="A16" s="27" t="s">
        <v>11</v>
      </c>
      <c r="B16" s="435">
        <v>0</v>
      </c>
      <c r="C16" s="434">
        <v>0</v>
      </c>
      <c r="D16" s="455">
        <v>0</v>
      </c>
      <c r="E16" s="454">
        <v>0</v>
      </c>
      <c r="F16" s="455">
        <v>0</v>
      </c>
      <c r="G16" s="454">
        <v>0</v>
      </c>
      <c r="H16" s="455">
        <v>0</v>
      </c>
      <c r="I16" s="454">
        <v>0</v>
      </c>
      <c r="J16" s="455">
        <v>0</v>
      </c>
      <c r="K16" s="454">
        <v>0</v>
      </c>
      <c r="L16" s="455">
        <v>0</v>
      </c>
      <c r="M16" s="454">
        <v>0</v>
      </c>
      <c r="N16" s="455">
        <v>0</v>
      </c>
      <c r="O16" s="454">
        <v>0</v>
      </c>
      <c r="P16" s="455">
        <v>0</v>
      </c>
      <c r="Q16" s="454">
        <v>0</v>
      </c>
      <c r="R16" s="455">
        <v>0</v>
      </c>
      <c r="S16" s="454">
        <v>0</v>
      </c>
      <c r="T16" s="15">
        <v>0</v>
      </c>
      <c r="U16" s="10">
        <v>0</v>
      </c>
      <c r="V16" s="492">
        <v>0</v>
      </c>
      <c r="W16" s="491">
        <v>0</v>
      </c>
      <c r="X16" s="15">
        <v>0</v>
      </c>
      <c r="Y16" s="10">
        <v>0</v>
      </c>
      <c r="Z16" s="42">
        <f t="shared" si="1"/>
        <v>0</v>
      </c>
      <c r="AA16" s="43">
        <f t="shared" si="2"/>
        <v>0</v>
      </c>
      <c r="AB16" s="365">
        <f t="shared" si="3"/>
        <v>150</v>
      </c>
      <c r="AC16" s="141" t="str">
        <f t="shared" si="4"/>
        <v>3ª Vara Federal</v>
      </c>
    </row>
    <row r="17" spans="1:29">
      <c r="A17" s="27" t="s">
        <v>12</v>
      </c>
      <c r="B17" s="435">
        <v>0</v>
      </c>
      <c r="C17" s="434">
        <v>0</v>
      </c>
      <c r="D17" s="455">
        <v>0</v>
      </c>
      <c r="E17" s="454">
        <v>0</v>
      </c>
      <c r="F17" s="455">
        <v>0</v>
      </c>
      <c r="G17" s="454">
        <v>0</v>
      </c>
      <c r="H17" s="455">
        <v>0</v>
      </c>
      <c r="I17" s="454">
        <v>0</v>
      </c>
      <c r="J17" s="455">
        <v>0</v>
      </c>
      <c r="K17" s="454">
        <v>0</v>
      </c>
      <c r="L17" s="455">
        <v>0</v>
      </c>
      <c r="M17" s="454">
        <v>0</v>
      </c>
      <c r="N17" s="455">
        <v>0</v>
      </c>
      <c r="O17" s="454">
        <v>0</v>
      </c>
      <c r="P17" s="455">
        <v>0</v>
      </c>
      <c r="Q17" s="454">
        <v>0</v>
      </c>
      <c r="R17" s="455">
        <v>0</v>
      </c>
      <c r="S17" s="454">
        <v>0</v>
      </c>
      <c r="T17" s="15">
        <v>0</v>
      </c>
      <c r="U17" s="10">
        <v>0</v>
      </c>
      <c r="V17" s="492">
        <v>0</v>
      </c>
      <c r="W17" s="491">
        <v>0</v>
      </c>
      <c r="X17" s="15">
        <v>0</v>
      </c>
      <c r="Y17" s="10">
        <v>0</v>
      </c>
      <c r="Z17" s="42">
        <f t="shared" si="1"/>
        <v>0</v>
      </c>
      <c r="AA17" s="43">
        <f t="shared" si="2"/>
        <v>0</v>
      </c>
      <c r="AB17" s="365">
        <f t="shared" si="3"/>
        <v>155</v>
      </c>
      <c r="AC17" s="141" t="str">
        <f t="shared" si="4"/>
        <v>4ª Vara Federal</v>
      </c>
    </row>
    <row r="18" spans="1:29" s="141" customFormat="1">
      <c r="A18" s="27" t="s">
        <v>288</v>
      </c>
      <c r="B18" s="435">
        <v>5</v>
      </c>
      <c r="C18" s="434">
        <v>92.45</v>
      </c>
      <c r="D18" s="455">
        <v>0</v>
      </c>
      <c r="E18" s="454">
        <v>0</v>
      </c>
      <c r="F18" s="455">
        <v>5</v>
      </c>
      <c r="G18" s="454">
        <v>92.45</v>
      </c>
      <c r="H18" s="455">
        <v>0</v>
      </c>
      <c r="I18" s="454">
        <v>0</v>
      </c>
      <c r="J18" s="455">
        <v>5</v>
      </c>
      <c r="K18" s="454">
        <v>92.45</v>
      </c>
      <c r="L18" s="455">
        <v>0</v>
      </c>
      <c r="M18" s="454">
        <v>0</v>
      </c>
      <c r="N18" s="455">
        <v>5</v>
      </c>
      <c r="O18" s="454">
        <v>92.45</v>
      </c>
      <c r="P18" s="455">
        <v>5</v>
      </c>
      <c r="Q18" s="454">
        <v>92.45</v>
      </c>
      <c r="R18" s="455">
        <v>0</v>
      </c>
      <c r="S18" s="454">
        <v>0</v>
      </c>
      <c r="T18" s="351">
        <v>4</v>
      </c>
      <c r="U18" s="350">
        <v>73.959999999999994</v>
      </c>
      <c r="V18" s="492">
        <v>0</v>
      </c>
      <c r="W18" s="491">
        <v>0</v>
      </c>
      <c r="X18" s="351">
        <v>0</v>
      </c>
      <c r="Y18" s="350">
        <v>0</v>
      </c>
      <c r="Z18" s="42">
        <f t="shared" si="1"/>
        <v>29</v>
      </c>
      <c r="AA18" s="43">
        <f t="shared" si="2"/>
        <v>536.21</v>
      </c>
      <c r="AB18" s="365">
        <f t="shared" si="3"/>
        <v>100</v>
      </c>
      <c r="AC18" s="141" t="str">
        <f t="shared" si="4"/>
        <v>5ª Vara Federal</v>
      </c>
    </row>
    <row r="19" spans="1:29">
      <c r="A19" s="27" t="s">
        <v>13</v>
      </c>
      <c r="B19" s="435">
        <v>0</v>
      </c>
      <c r="C19" s="434">
        <v>0</v>
      </c>
      <c r="D19" s="455">
        <v>0</v>
      </c>
      <c r="E19" s="454">
        <v>0</v>
      </c>
      <c r="F19" s="455">
        <v>0</v>
      </c>
      <c r="G19" s="454">
        <v>0</v>
      </c>
      <c r="H19" s="455">
        <v>2</v>
      </c>
      <c r="I19" s="454">
        <v>36.979999999999997</v>
      </c>
      <c r="J19" s="455">
        <v>6</v>
      </c>
      <c r="K19" s="454">
        <v>110.94</v>
      </c>
      <c r="L19" s="455">
        <v>0</v>
      </c>
      <c r="M19" s="454">
        <v>0</v>
      </c>
      <c r="N19" s="455">
        <v>4</v>
      </c>
      <c r="O19" s="454">
        <v>73.959999999999994</v>
      </c>
      <c r="P19" s="455">
        <v>6</v>
      </c>
      <c r="Q19" s="454">
        <v>110.94</v>
      </c>
      <c r="R19" s="455">
        <v>4</v>
      </c>
      <c r="S19" s="454">
        <v>73.959999999999994</v>
      </c>
      <c r="T19" s="15">
        <v>0</v>
      </c>
      <c r="U19" s="10">
        <v>0</v>
      </c>
      <c r="V19" s="492">
        <v>3</v>
      </c>
      <c r="W19" s="491">
        <v>55.47</v>
      </c>
      <c r="X19" s="494">
        <v>2</v>
      </c>
      <c r="Y19" s="493">
        <v>36.979999999999997</v>
      </c>
      <c r="Z19" s="42">
        <f t="shared" si="1"/>
        <v>27</v>
      </c>
      <c r="AA19" s="43">
        <f t="shared" si="2"/>
        <v>499.23</v>
      </c>
      <c r="AB19" s="365">
        <f t="shared" si="3"/>
        <v>131</v>
      </c>
      <c r="AC19" s="141" t="str">
        <f t="shared" si="4"/>
        <v>Turma Recursal</v>
      </c>
    </row>
    <row r="20" spans="1:29">
      <c r="A20" s="5" t="s">
        <v>14</v>
      </c>
      <c r="B20" s="16">
        <f>SUM(B21:B22)</f>
        <v>50</v>
      </c>
      <c r="C20" s="11">
        <f t="shared" ref="C20:Y20" si="5">SUM(C21:C22)</f>
        <v>924.5</v>
      </c>
      <c r="D20" s="16">
        <f>SUM(D21:D22)</f>
        <v>45</v>
      </c>
      <c r="E20" s="11">
        <f t="shared" si="5"/>
        <v>832.05000000000007</v>
      </c>
      <c r="F20" s="16">
        <f t="shared" si="5"/>
        <v>65</v>
      </c>
      <c r="G20" s="11">
        <f t="shared" si="5"/>
        <v>1201.8500000000001</v>
      </c>
      <c r="H20" s="16">
        <f t="shared" si="5"/>
        <v>0</v>
      </c>
      <c r="I20" s="11">
        <f t="shared" si="5"/>
        <v>0</v>
      </c>
      <c r="J20" s="16">
        <f t="shared" si="5"/>
        <v>0</v>
      </c>
      <c r="K20" s="11">
        <f t="shared" si="5"/>
        <v>0</v>
      </c>
      <c r="L20" s="16">
        <f t="shared" si="5"/>
        <v>0</v>
      </c>
      <c r="M20" s="11">
        <f t="shared" si="5"/>
        <v>0</v>
      </c>
      <c r="N20" s="16">
        <f t="shared" si="5"/>
        <v>0</v>
      </c>
      <c r="O20" s="11">
        <f t="shared" si="5"/>
        <v>0</v>
      </c>
      <c r="P20" s="16">
        <f t="shared" si="5"/>
        <v>0</v>
      </c>
      <c r="Q20" s="11">
        <f t="shared" si="5"/>
        <v>0</v>
      </c>
      <c r="R20" s="16">
        <f t="shared" si="5"/>
        <v>0</v>
      </c>
      <c r="S20" s="11">
        <f t="shared" si="5"/>
        <v>0</v>
      </c>
      <c r="T20" s="16">
        <f t="shared" si="5"/>
        <v>10</v>
      </c>
      <c r="U20" s="11">
        <f t="shared" si="5"/>
        <v>184.89999999999998</v>
      </c>
      <c r="V20" s="16">
        <f t="shared" si="5"/>
        <v>10</v>
      </c>
      <c r="W20" s="11">
        <f t="shared" si="5"/>
        <v>184.89999999999998</v>
      </c>
      <c r="X20" s="16">
        <f t="shared" si="5"/>
        <v>0</v>
      </c>
      <c r="Y20" s="11">
        <f t="shared" si="5"/>
        <v>0</v>
      </c>
      <c r="Z20" s="16">
        <f>SUM(Z21:Z22)</f>
        <v>180</v>
      </c>
      <c r="AA20" s="11">
        <f>SUM(AA21:AA22)</f>
        <v>3328.2000000000007</v>
      </c>
      <c r="AB20" s="365">
        <f t="shared" si="3"/>
        <v>568</v>
      </c>
      <c r="AC20" s="141" t="str">
        <f t="shared" si="4"/>
        <v>Subseção Judiciária de Araguaína</v>
      </c>
    </row>
    <row r="21" spans="1:29" s="1" customFormat="1">
      <c r="A21" s="28" t="s">
        <v>17</v>
      </c>
      <c r="B21" s="455">
        <v>2</v>
      </c>
      <c r="C21" s="454">
        <v>36.979999999999997</v>
      </c>
      <c r="D21" s="455">
        <v>2</v>
      </c>
      <c r="E21" s="454">
        <v>36.979999999999997</v>
      </c>
      <c r="F21" s="455">
        <v>4</v>
      </c>
      <c r="G21" s="454">
        <v>73.959999999999994</v>
      </c>
      <c r="H21" s="15">
        <v>0</v>
      </c>
      <c r="I21" s="10">
        <v>0</v>
      </c>
      <c r="J21" s="15">
        <v>0</v>
      </c>
      <c r="K21" s="10">
        <v>0</v>
      </c>
      <c r="L21" s="15">
        <v>0</v>
      </c>
      <c r="M21" s="10">
        <v>0</v>
      </c>
      <c r="N21" s="444">
        <v>0</v>
      </c>
      <c r="O21" s="443">
        <v>0</v>
      </c>
      <c r="P21" s="444">
        <v>0</v>
      </c>
      <c r="Q21" s="443">
        <v>0</v>
      </c>
      <c r="R21" s="455">
        <v>0</v>
      </c>
      <c r="S21" s="454">
        <v>0</v>
      </c>
      <c r="T21" s="494">
        <v>2</v>
      </c>
      <c r="U21" s="493">
        <v>36.979999999999997</v>
      </c>
      <c r="V21" s="494">
        <v>2</v>
      </c>
      <c r="W21" s="493">
        <v>36.979999999999997</v>
      </c>
      <c r="X21" s="15">
        <v>0</v>
      </c>
      <c r="Y21" s="10">
        <v>0</v>
      </c>
      <c r="Z21" s="42">
        <f>B21+D21+F21+H21+J21+L21+N21+P21+R21+T21+V21+X21</f>
        <v>12</v>
      </c>
      <c r="AA21" s="43">
        <f>C21+E21+G21+I21+K21+M21+O21+Q21+S21+U21+W21+Y21</f>
        <v>221.87999999999997</v>
      </c>
      <c r="AB21" s="365">
        <f t="shared" si="3"/>
        <v>43</v>
      </c>
      <c r="AC21" s="141" t="str">
        <f t="shared" si="4"/>
        <v>Diretoria da Vara</v>
      </c>
    </row>
    <row r="22" spans="1:29" s="1" customFormat="1">
      <c r="A22" s="28" t="s">
        <v>18</v>
      </c>
      <c r="B22" s="455">
        <v>48</v>
      </c>
      <c r="C22" s="454">
        <v>887.52</v>
      </c>
      <c r="D22" s="455">
        <v>43</v>
      </c>
      <c r="E22" s="454">
        <v>795.07</v>
      </c>
      <c r="F22" s="455">
        <v>61</v>
      </c>
      <c r="G22" s="454">
        <v>1127.8900000000001</v>
      </c>
      <c r="H22" s="15">
        <v>0</v>
      </c>
      <c r="I22" s="10">
        <v>0</v>
      </c>
      <c r="J22" s="15">
        <v>0</v>
      </c>
      <c r="K22" s="10">
        <v>0</v>
      </c>
      <c r="L22" s="15">
        <v>0</v>
      </c>
      <c r="M22" s="10">
        <v>0</v>
      </c>
      <c r="N22" s="444">
        <v>0</v>
      </c>
      <c r="O22" s="443">
        <v>0</v>
      </c>
      <c r="P22" s="444">
        <v>0</v>
      </c>
      <c r="Q22" s="443">
        <v>0</v>
      </c>
      <c r="R22" s="455">
        <v>0</v>
      </c>
      <c r="S22" s="454">
        <v>0</v>
      </c>
      <c r="T22" s="494">
        <v>8</v>
      </c>
      <c r="U22" s="493">
        <v>147.91999999999999</v>
      </c>
      <c r="V22" s="494">
        <v>8</v>
      </c>
      <c r="W22" s="493">
        <v>147.91999999999999</v>
      </c>
      <c r="X22" s="15">
        <v>0</v>
      </c>
      <c r="Y22" s="10">
        <v>0</v>
      </c>
      <c r="Z22" s="42">
        <f>B22+D22+F22+H22+J22+L22+N22+P22+R22+T22+V22+X22</f>
        <v>168</v>
      </c>
      <c r="AA22" s="43">
        <f>C22+E22+G22+I22+K22+M22+O22+Q22+S22+U22+W22+Y22</f>
        <v>3106.3200000000006</v>
      </c>
      <c r="AB22" s="365">
        <f t="shared" si="3"/>
        <v>525</v>
      </c>
      <c r="AC22" s="141" t="str">
        <f t="shared" si="4"/>
        <v>Secretaria da Vara</v>
      </c>
    </row>
    <row r="23" spans="1:29" s="1" customFormat="1">
      <c r="A23" s="6" t="s">
        <v>15</v>
      </c>
      <c r="B23" s="16">
        <f>SUM(B24:B25)</f>
        <v>8</v>
      </c>
      <c r="C23" s="11">
        <f t="shared" ref="C23:Y23" si="6">SUM(C24:C25)</f>
        <v>147.92000000000002</v>
      </c>
      <c r="D23" s="16">
        <f t="shared" si="6"/>
        <v>9</v>
      </c>
      <c r="E23" s="11">
        <f t="shared" si="6"/>
        <v>166.41</v>
      </c>
      <c r="F23" s="16">
        <f t="shared" si="6"/>
        <v>14</v>
      </c>
      <c r="G23" s="11">
        <f t="shared" si="6"/>
        <v>281.68</v>
      </c>
      <c r="H23" s="16">
        <f t="shared" si="6"/>
        <v>13</v>
      </c>
      <c r="I23" s="11">
        <f t="shared" si="6"/>
        <v>240.37</v>
      </c>
      <c r="J23" s="16">
        <f t="shared" si="6"/>
        <v>14</v>
      </c>
      <c r="K23" s="11">
        <f t="shared" si="6"/>
        <v>258.86</v>
      </c>
      <c r="L23" s="16">
        <f t="shared" si="6"/>
        <v>8</v>
      </c>
      <c r="M23" s="11">
        <f t="shared" si="6"/>
        <v>147.91999999999999</v>
      </c>
      <c r="N23" s="16">
        <f t="shared" si="6"/>
        <v>10</v>
      </c>
      <c r="O23" s="11">
        <f t="shared" si="6"/>
        <v>184.9</v>
      </c>
      <c r="P23" s="16">
        <f t="shared" si="6"/>
        <v>10</v>
      </c>
      <c r="Q23" s="11">
        <f t="shared" si="6"/>
        <v>184.89999999999998</v>
      </c>
      <c r="R23" s="16">
        <f t="shared" si="6"/>
        <v>9</v>
      </c>
      <c r="S23" s="11">
        <f t="shared" si="6"/>
        <v>166.41</v>
      </c>
      <c r="T23" s="16">
        <f t="shared" si="6"/>
        <v>14</v>
      </c>
      <c r="U23" s="11">
        <f t="shared" si="6"/>
        <v>258.86</v>
      </c>
      <c r="V23" s="16">
        <f t="shared" si="6"/>
        <v>15</v>
      </c>
      <c r="W23" s="11">
        <f t="shared" si="6"/>
        <v>277.35000000000002</v>
      </c>
      <c r="X23" s="16">
        <f t="shared" si="6"/>
        <v>17</v>
      </c>
      <c r="Y23" s="11">
        <f t="shared" si="6"/>
        <v>314.33</v>
      </c>
      <c r="Z23" s="16">
        <f>SUM(Z24:Z25)</f>
        <v>141</v>
      </c>
      <c r="AA23" s="11">
        <f>SUM(AA24:AA25)</f>
        <v>2629.9100000000003</v>
      </c>
      <c r="AB23" s="365">
        <f t="shared" si="3"/>
        <v>215</v>
      </c>
      <c r="AC23" s="141" t="str">
        <f t="shared" si="4"/>
        <v>Subseção Judiciária de Gurupi</v>
      </c>
    </row>
    <row r="24" spans="1:29" s="1" customFormat="1">
      <c r="A24" s="28" t="s">
        <v>17</v>
      </c>
      <c r="B24" s="270">
        <v>5</v>
      </c>
      <c r="C24" s="269">
        <v>92.45</v>
      </c>
      <c r="D24" s="473">
        <v>7</v>
      </c>
      <c r="E24" s="474">
        <v>129.43</v>
      </c>
      <c r="F24" s="473">
        <v>7</v>
      </c>
      <c r="G24" s="474">
        <v>140.84</v>
      </c>
      <c r="H24" s="473">
        <v>6</v>
      </c>
      <c r="I24" s="474">
        <v>110.94</v>
      </c>
      <c r="J24" s="473">
        <v>10</v>
      </c>
      <c r="K24" s="474">
        <v>184.9</v>
      </c>
      <c r="L24" s="473">
        <v>2</v>
      </c>
      <c r="M24" s="474">
        <v>36.979999999999997</v>
      </c>
      <c r="N24" s="473">
        <v>7</v>
      </c>
      <c r="O24" s="474">
        <v>129.43</v>
      </c>
      <c r="P24" s="473">
        <v>6</v>
      </c>
      <c r="Q24" s="474">
        <v>110.94</v>
      </c>
      <c r="R24" s="482">
        <v>3</v>
      </c>
      <c r="S24" s="483">
        <v>55.47</v>
      </c>
      <c r="T24" s="482">
        <v>5</v>
      </c>
      <c r="U24" s="483">
        <v>92.45</v>
      </c>
      <c r="V24" s="482">
        <v>7</v>
      </c>
      <c r="W24" s="483">
        <v>129.43</v>
      </c>
      <c r="X24" s="501">
        <v>8</v>
      </c>
      <c r="Y24" s="502">
        <v>147.91999999999999</v>
      </c>
      <c r="Z24" s="42">
        <f>B24+D24+F24+H24+J24+L24+N24+P24+R24+T24+V24+X24</f>
        <v>73</v>
      </c>
      <c r="AA24" s="43">
        <f>C24+E24+G24+I24+K24+M24+O24+Q24+S24+U24+W24+Y24</f>
        <v>1361.1800000000003</v>
      </c>
      <c r="AB24" s="365">
        <f t="shared" si="3"/>
        <v>102</v>
      </c>
      <c r="AC24" s="141" t="str">
        <f t="shared" si="4"/>
        <v>Diretoria da Vara</v>
      </c>
    </row>
    <row r="25" spans="1:29" ht="15.75" thickBot="1">
      <c r="A25" s="29" t="s">
        <v>16</v>
      </c>
      <c r="B25" s="271">
        <v>3</v>
      </c>
      <c r="C25" s="272">
        <v>55.47</v>
      </c>
      <c r="D25" s="475">
        <v>2</v>
      </c>
      <c r="E25" s="474">
        <v>36.979999999999997</v>
      </c>
      <c r="F25" s="475">
        <v>7</v>
      </c>
      <c r="G25" s="476">
        <v>140.84</v>
      </c>
      <c r="H25" s="475">
        <v>7</v>
      </c>
      <c r="I25" s="474">
        <v>129.43</v>
      </c>
      <c r="J25" s="475">
        <v>4</v>
      </c>
      <c r="K25" s="474">
        <v>73.959999999999994</v>
      </c>
      <c r="L25" s="475">
        <v>6</v>
      </c>
      <c r="M25" s="474">
        <v>110.94</v>
      </c>
      <c r="N25" s="473">
        <v>3</v>
      </c>
      <c r="O25" s="474">
        <v>55.47</v>
      </c>
      <c r="P25" s="473">
        <v>4</v>
      </c>
      <c r="Q25" s="474">
        <v>73.959999999999994</v>
      </c>
      <c r="R25" s="482">
        <v>6</v>
      </c>
      <c r="S25" s="483">
        <v>110.94</v>
      </c>
      <c r="T25" s="482">
        <v>9</v>
      </c>
      <c r="U25" s="483">
        <v>166.41</v>
      </c>
      <c r="V25" s="484">
        <v>8</v>
      </c>
      <c r="W25" s="483">
        <v>147.91999999999999</v>
      </c>
      <c r="X25" s="503">
        <v>9</v>
      </c>
      <c r="Y25" s="504">
        <v>166.41</v>
      </c>
      <c r="Z25" s="42">
        <f>B25+D25+F25+H25+J25+L25+N25+P25+R25+T25+V25+X25</f>
        <v>68</v>
      </c>
      <c r="AA25" s="43">
        <f>C25+E25+G25+I25+K25+M25+O25+Q25+S25+U25+W25+Y25</f>
        <v>1268.73</v>
      </c>
      <c r="AB25" s="365">
        <f t="shared" si="3"/>
        <v>113</v>
      </c>
      <c r="AC25" s="141" t="str">
        <f t="shared" si="4"/>
        <v>Vara Única de Gurupi</v>
      </c>
    </row>
    <row r="26" spans="1:29" s="1" customFormat="1" ht="15.75" thickBot="1">
      <c r="A26" s="19" t="s">
        <v>22</v>
      </c>
      <c r="B26" s="18">
        <f t="shared" ref="B26:AA26" si="7">B11+B20+B23</f>
        <v>65</v>
      </c>
      <c r="C26" s="13">
        <f t="shared" si="7"/>
        <v>1201.8500000000001</v>
      </c>
      <c r="D26" s="18">
        <f t="shared" si="7"/>
        <v>55</v>
      </c>
      <c r="E26" s="13">
        <f t="shared" si="7"/>
        <v>1016.95</v>
      </c>
      <c r="F26" s="18">
        <f t="shared" si="7"/>
        <v>84</v>
      </c>
      <c r="G26" s="13">
        <f t="shared" si="7"/>
        <v>1575.9800000000002</v>
      </c>
      <c r="H26" s="18">
        <f t="shared" si="7"/>
        <v>20</v>
      </c>
      <c r="I26" s="13">
        <f t="shared" si="7"/>
        <v>369.8</v>
      </c>
      <c r="J26" s="18">
        <f t="shared" si="7"/>
        <v>39</v>
      </c>
      <c r="K26" s="13">
        <f t="shared" si="7"/>
        <v>721.11</v>
      </c>
      <c r="L26" s="18">
        <f t="shared" si="7"/>
        <v>11</v>
      </c>
      <c r="M26" s="13">
        <f t="shared" si="7"/>
        <v>203.39</v>
      </c>
      <c r="N26" s="18">
        <f t="shared" si="7"/>
        <v>19</v>
      </c>
      <c r="O26" s="13">
        <f t="shared" si="7"/>
        <v>351.31</v>
      </c>
      <c r="P26" s="18">
        <f t="shared" si="7"/>
        <v>26</v>
      </c>
      <c r="Q26" s="13">
        <f t="shared" si="7"/>
        <v>480.73999999999995</v>
      </c>
      <c r="R26" s="18">
        <f t="shared" si="7"/>
        <v>18</v>
      </c>
      <c r="S26" s="13">
        <f t="shared" si="7"/>
        <v>332.82</v>
      </c>
      <c r="T26" s="18">
        <f t="shared" si="7"/>
        <v>29</v>
      </c>
      <c r="U26" s="13">
        <f t="shared" si="7"/>
        <v>536.21</v>
      </c>
      <c r="V26" s="18">
        <f t="shared" si="7"/>
        <v>29</v>
      </c>
      <c r="W26" s="13">
        <f t="shared" si="7"/>
        <v>536.21</v>
      </c>
      <c r="X26" s="18">
        <f t="shared" si="7"/>
        <v>19</v>
      </c>
      <c r="Y26" s="13">
        <f t="shared" si="7"/>
        <v>351.31</v>
      </c>
      <c r="Z26" s="18">
        <f>Z11+Z20+Z23</f>
        <v>414</v>
      </c>
      <c r="AA26" s="13">
        <f t="shared" si="7"/>
        <v>7677.68</v>
      </c>
      <c r="AB26" s="365">
        <f t="shared" si="3"/>
        <v>1896</v>
      </c>
    </row>
    <row r="27" spans="1:29" ht="6" customHeight="1"/>
    <row r="28" spans="1:29" s="1" customFormat="1">
      <c r="A28" s="31" t="s">
        <v>1</v>
      </c>
    </row>
    <row r="29" spans="1:29" s="1" customFormat="1">
      <c r="A29" s="31" t="s">
        <v>19</v>
      </c>
    </row>
    <row r="30" spans="1:29" s="1" customFormat="1" ht="15.75" thickBot="1">
      <c r="A30" s="31" t="s">
        <v>20</v>
      </c>
    </row>
    <row r="31" spans="1:29" s="1" customFormat="1">
      <c r="A31" s="514" t="s">
        <v>4</v>
      </c>
      <c r="B31" s="513">
        <v>43466</v>
      </c>
      <c r="C31" s="510"/>
      <c r="D31" s="513">
        <v>43497</v>
      </c>
      <c r="E31" s="510"/>
      <c r="F31" s="513">
        <v>43525</v>
      </c>
      <c r="G31" s="510"/>
      <c r="H31" s="513">
        <v>43556</v>
      </c>
      <c r="I31" s="510"/>
      <c r="J31" s="513">
        <v>43586</v>
      </c>
      <c r="K31" s="510"/>
      <c r="L31" s="513">
        <v>43617</v>
      </c>
      <c r="M31" s="510"/>
      <c r="N31" s="513">
        <v>43647</v>
      </c>
      <c r="O31" s="510"/>
      <c r="P31" s="513">
        <v>43678</v>
      </c>
      <c r="Q31" s="510"/>
      <c r="R31" s="513">
        <v>43709</v>
      </c>
      <c r="S31" s="510"/>
      <c r="T31" s="513">
        <v>43739</v>
      </c>
      <c r="U31" s="510"/>
      <c r="V31" s="513">
        <v>43770</v>
      </c>
      <c r="W31" s="510"/>
      <c r="X31" s="513">
        <v>43800</v>
      </c>
      <c r="Y31" s="510"/>
      <c r="Z31" s="509" t="s">
        <v>300</v>
      </c>
      <c r="AA31" s="510"/>
    </row>
    <row r="32" spans="1:29" s="1" customFormat="1" ht="15.75" thickBot="1">
      <c r="A32" s="515"/>
      <c r="B32" s="7" t="s">
        <v>5</v>
      </c>
      <c r="C32" s="8" t="s">
        <v>147</v>
      </c>
      <c r="D32" s="7" t="s">
        <v>5</v>
      </c>
      <c r="E32" s="8" t="s">
        <v>147</v>
      </c>
      <c r="F32" s="7" t="s">
        <v>5</v>
      </c>
      <c r="G32" s="8" t="s">
        <v>147</v>
      </c>
      <c r="H32" s="7" t="s">
        <v>5</v>
      </c>
      <c r="I32" s="8" t="s">
        <v>147</v>
      </c>
      <c r="J32" s="7" t="s">
        <v>5</v>
      </c>
      <c r="K32" s="8" t="s">
        <v>147</v>
      </c>
      <c r="L32" s="7" t="s">
        <v>5</v>
      </c>
      <c r="M32" s="8" t="s">
        <v>147</v>
      </c>
      <c r="N32" s="7" t="s">
        <v>5</v>
      </c>
      <c r="O32" s="8" t="s">
        <v>147</v>
      </c>
      <c r="P32" s="7" t="s">
        <v>5</v>
      </c>
      <c r="Q32" s="8" t="s">
        <v>147</v>
      </c>
      <c r="R32" s="7" t="s">
        <v>5</v>
      </c>
      <c r="S32" s="8" t="s">
        <v>147</v>
      </c>
      <c r="T32" s="7" t="s">
        <v>5</v>
      </c>
      <c r="U32" s="8" t="s">
        <v>147</v>
      </c>
      <c r="V32" s="7" t="s">
        <v>5</v>
      </c>
      <c r="W32" s="8" t="s">
        <v>147</v>
      </c>
      <c r="X32" s="7" t="s">
        <v>5</v>
      </c>
      <c r="Y32" s="8" t="s">
        <v>147</v>
      </c>
      <c r="Z32" s="7" t="s">
        <v>5</v>
      </c>
      <c r="AA32" s="8" t="s">
        <v>147</v>
      </c>
    </row>
    <row r="33" spans="1:30" s="1" customFormat="1">
      <c r="A33" s="4" t="s">
        <v>6</v>
      </c>
      <c r="B33" s="14">
        <f>SUM(B34:B41)</f>
        <v>78</v>
      </c>
      <c r="C33" s="9">
        <f t="shared" ref="C33:Y33" si="8">SUM(C34:C41)</f>
        <v>1570.14</v>
      </c>
      <c r="D33" s="14">
        <f t="shared" si="8"/>
        <v>78</v>
      </c>
      <c r="E33" s="9">
        <f t="shared" si="8"/>
        <v>1570.14</v>
      </c>
      <c r="F33" s="14">
        <f t="shared" si="8"/>
        <v>130</v>
      </c>
      <c r="G33" s="9">
        <f t="shared" si="8"/>
        <v>2616.8999999999996</v>
      </c>
      <c r="H33" s="14">
        <f t="shared" si="8"/>
        <v>57</v>
      </c>
      <c r="I33" s="9">
        <f t="shared" si="8"/>
        <v>1147.4100000000001</v>
      </c>
      <c r="J33" s="14">
        <f t="shared" si="8"/>
        <v>158</v>
      </c>
      <c r="K33" s="9">
        <f t="shared" si="8"/>
        <v>2921.42</v>
      </c>
      <c r="L33" s="14">
        <f t="shared" si="8"/>
        <v>77</v>
      </c>
      <c r="M33" s="9">
        <f t="shared" si="8"/>
        <v>1550.0099999999998</v>
      </c>
      <c r="N33" s="14">
        <f t="shared" si="8"/>
        <v>57</v>
      </c>
      <c r="O33" s="9">
        <f t="shared" si="8"/>
        <v>1147.4099999999999</v>
      </c>
      <c r="P33" s="14">
        <f t="shared" si="8"/>
        <v>128</v>
      </c>
      <c r="Q33" s="9">
        <f t="shared" si="8"/>
        <v>2576.64</v>
      </c>
      <c r="R33" s="14">
        <f t="shared" si="8"/>
        <v>45</v>
      </c>
      <c r="S33" s="9">
        <f t="shared" si="8"/>
        <v>905.85</v>
      </c>
      <c r="T33" s="14">
        <f>SUM(T34:T41)</f>
        <v>95</v>
      </c>
      <c r="U33" s="9">
        <f t="shared" si="8"/>
        <v>1912.3500000000001</v>
      </c>
      <c r="V33" s="14">
        <f t="shared" si="8"/>
        <v>73</v>
      </c>
      <c r="W33" s="9">
        <f t="shared" si="8"/>
        <v>1469.49</v>
      </c>
      <c r="X33" s="14">
        <f t="shared" si="8"/>
        <v>44</v>
      </c>
      <c r="Y33" s="9">
        <f t="shared" si="8"/>
        <v>885.72</v>
      </c>
      <c r="Z33" s="14">
        <f>SUM(Z34:Z41)</f>
        <v>1020</v>
      </c>
      <c r="AA33" s="9">
        <f>SUM(AA34:AA41)</f>
        <v>20273.480000000003</v>
      </c>
    </row>
    <row r="34" spans="1:30" s="1" customFormat="1">
      <c r="A34" s="27" t="s">
        <v>7</v>
      </c>
      <c r="B34" s="254">
        <v>6</v>
      </c>
      <c r="C34" s="253">
        <v>120.78</v>
      </c>
      <c r="D34" s="455">
        <v>0</v>
      </c>
      <c r="E34" s="454">
        <v>0</v>
      </c>
      <c r="F34" s="455">
        <v>0</v>
      </c>
      <c r="G34" s="454">
        <v>0</v>
      </c>
      <c r="H34" s="455">
        <v>11</v>
      </c>
      <c r="I34" s="454">
        <v>221.43</v>
      </c>
      <c r="J34" s="455">
        <v>0</v>
      </c>
      <c r="K34" s="454">
        <v>0</v>
      </c>
      <c r="L34" s="455">
        <v>0</v>
      </c>
      <c r="M34" s="454">
        <v>0</v>
      </c>
      <c r="N34" s="455">
        <v>10</v>
      </c>
      <c r="O34" s="454">
        <v>201.3</v>
      </c>
      <c r="P34" s="457">
        <v>0</v>
      </c>
      <c r="Q34" s="456">
        <v>0</v>
      </c>
      <c r="R34" s="455">
        <v>0</v>
      </c>
      <c r="S34" s="454">
        <v>0</v>
      </c>
      <c r="T34" s="449">
        <v>10</v>
      </c>
      <c r="U34" s="448">
        <v>201.3</v>
      </c>
      <c r="V34" s="494">
        <v>0</v>
      </c>
      <c r="W34" s="493">
        <v>0</v>
      </c>
      <c r="X34" s="494">
        <v>0</v>
      </c>
      <c r="Y34" s="493">
        <v>0</v>
      </c>
      <c r="Z34" s="42">
        <f t="shared" ref="Z34:Z41" si="9">B34+D34+F34+H34+J34+L34+N34+P34+R34+T34+V34+X34</f>
        <v>37</v>
      </c>
      <c r="AA34" s="43">
        <f>C34+E34+G34+I34+K34+M34+O34+Q34+S34+U34+W34+Y34</f>
        <v>744.81</v>
      </c>
    </row>
    <row r="35" spans="1:30" s="1" customFormat="1">
      <c r="A35" s="27" t="s">
        <v>8</v>
      </c>
      <c r="B35" s="254">
        <v>17</v>
      </c>
      <c r="C35" s="253">
        <v>342.21</v>
      </c>
      <c r="D35" s="455">
        <v>42</v>
      </c>
      <c r="E35" s="454">
        <v>845.46</v>
      </c>
      <c r="F35" s="455">
        <v>27</v>
      </c>
      <c r="G35" s="454">
        <v>543.51</v>
      </c>
      <c r="H35" s="455">
        <v>10</v>
      </c>
      <c r="I35" s="454">
        <v>201.3</v>
      </c>
      <c r="J35" s="455">
        <v>40</v>
      </c>
      <c r="K35" s="454">
        <v>739.6</v>
      </c>
      <c r="L35" s="455">
        <v>31</v>
      </c>
      <c r="M35" s="454">
        <v>624.03</v>
      </c>
      <c r="N35" s="455">
        <v>17</v>
      </c>
      <c r="O35" s="454">
        <v>342.21</v>
      </c>
      <c r="P35" s="457">
        <v>41</v>
      </c>
      <c r="Q35" s="456">
        <v>825.33</v>
      </c>
      <c r="R35" s="455">
        <v>25</v>
      </c>
      <c r="S35" s="454">
        <v>503.25</v>
      </c>
      <c r="T35" s="449">
        <v>23</v>
      </c>
      <c r="U35" s="448">
        <v>462.99</v>
      </c>
      <c r="V35" s="494">
        <v>26</v>
      </c>
      <c r="W35" s="493">
        <v>523.38</v>
      </c>
      <c r="X35" s="494">
        <v>9</v>
      </c>
      <c r="Y35" s="493">
        <v>181.17</v>
      </c>
      <c r="Z35" s="42">
        <f t="shared" si="9"/>
        <v>308</v>
      </c>
      <c r="AA35" s="43">
        <f t="shared" ref="AA35:AA41" si="10">C35+E35+G35+I35+K35+M35+O35+Q35+S35+U35+W35+Y35</f>
        <v>6134.44</v>
      </c>
    </row>
    <row r="36" spans="1:30" s="1" customFormat="1">
      <c r="A36" s="27" t="s">
        <v>9</v>
      </c>
      <c r="B36" s="455">
        <v>0</v>
      </c>
      <c r="C36" s="253">
        <v>0</v>
      </c>
      <c r="D36" s="455">
        <v>3</v>
      </c>
      <c r="E36" s="454">
        <v>60.39</v>
      </c>
      <c r="F36" s="455">
        <v>40</v>
      </c>
      <c r="G36" s="454">
        <v>805.2</v>
      </c>
      <c r="H36" s="455">
        <v>17</v>
      </c>
      <c r="I36" s="454">
        <v>342.21</v>
      </c>
      <c r="J36" s="455">
        <v>20</v>
      </c>
      <c r="K36" s="454">
        <v>369.8</v>
      </c>
      <c r="L36" s="455">
        <v>0</v>
      </c>
      <c r="M36" s="454">
        <v>0</v>
      </c>
      <c r="N36" s="455">
        <v>0</v>
      </c>
      <c r="O36" s="454">
        <v>0</v>
      </c>
      <c r="P36" s="457">
        <v>10</v>
      </c>
      <c r="Q36" s="456">
        <v>201.3</v>
      </c>
      <c r="R36" s="455">
        <v>0</v>
      </c>
      <c r="S36" s="454">
        <v>0</v>
      </c>
      <c r="T36" s="449">
        <v>10</v>
      </c>
      <c r="U36" s="448">
        <v>201.3</v>
      </c>
      <c r="V36" s="494">
        <v>0</v>
      </c>
      <c r="W36" s="493">
        <v>0</v>
      </c>
      <c r="X36" s="494">
        <v>0</v>
      </c>
      <c r="Y36" s="493">
        <v>0</v>
      </c>
      <c r="Z36" s="42">
        <f t="shared" si="9"/>
        <v>100</v>
      </c>
      <c r="AA36" s="43">
        <f t="shared" si="10"/>
        <v>1980.1999999999998</v>
      </c>
    </row>
    <row r="37" spans="1:30" s="1" customFormat="1">
      <c r="A37" s="27" t="s">
        <v>10</v>
      </c>
      <c r="B37" s="254">
        <v>20</v>
      </c>
      <c r="C37" s="253">
        <v>402.6</v>
      </c>
      <c r="D37" s="455">
        <v>0</v>
      </c>
      <c r="E37" s="454">
        <v>0</v>
      </c>
      <c r="F37" s="455">
        <v>20</v>
      </c>
      <c r="G37" s="454">
        <v>402.6</v>
      </c>
      <c r="H37" s="455">
        <v>0</v>
      </c>
      <c r="I37" s="454">
        <v>0</v>
      </c>
      <c r="J37" s="455">
        <v>15</v>
      </c>
      <c r="K37" s="454">
        <v>277.35000000000002</v>
      </c>
      <c r="L37" s="455">
        <v>0</v>
      </c>
      <c r="M37" s="454">
        <v>0</v>
      </c>
      <c r="N37" s="455">
        <v>0</v>
      </c>
      <c r="O37" s="454">
        <v>0</v>
      </c>
      <c r="P37" s="457">
        <v>20</v>
      </c>
      <c r="Q37" s="456">
        <v>402.6</v>
      </c>
      <c r="R37" s="455">
        <v>0</v>
      </c>
      <c r="S37" s="454">
        <v>0</v>
      </c>
      <c r="T37" s="449">
        <v>0</v>
      </c>
      <c r="U37" s="448">
        <v>0</v>
      </c>
      <c r="V37" s="494">
        <v>20</v>
      </c>
      <c r="W37" s="493">
        <v>402.6</v>
      </c>
      <c r="X37" s="494">
        <v>0</v>
      </c>
      <c r="Y37" s="493">
        <v>0</v>
      </c>
      <c r="Z37" s="42">
        <f t="shared" si="9"/>
        <v>95</v>
      </c>
      <c r="AA37" s="43">
        <f t="shared" si="10"/>
        <v>1887.75</v>
      </c>
    </row>
    <row r="38" spans="1:30" s="1" customFormat="1">
      <c r="A38" s="27" t="s">
        <v>11</v>
      </c>
      <c r="B38" s="254">
        <v>5</v>
      </c>
      <c r="C38" s="253">
        <v>100.65</v>
      </c>
      <c r="D38" s="455">
        <v>10</v>
      </c>
      <c r="E38" s="454">
        <v>201.3</v>
      </c>
      <c r="F38" s="455">
        <v>15</v>
      </c>
      <c r="G38" s="454">
        <v>301.95</v>
      </c>
      <c r="H38" s="455">
        <v>4</v>
      </c>
      <c r="I38" s="454">
        <v>80.52</v>
      </c>
      <c r="J38" s="455">
        <v>15</v>
      </c>
      <c r="K38" s="454">
        <v>277.35000000000002</v>
      </c>
      <c r="L38" s="455">
        <v>18</v>
      </c>
      <c r="M38" s="454">
        <v>362.34</v>
      </c>
      <c r="N38" s="455">
        <v>10</v>
      </c>
      <c r="O38" s="454">
        <v>201.3</v>
      </c>
      <c r="P38" s="457">
        <v>20</v>
      </c>
      <c r="Q38" s="456">
        <v>402.6</v>
      </c>
      <c r="R38" s="455">
        <v>15</v>
      </c>
      <c r="S38" s="454">
        <v>301.95</v>
      </c>
      <c r="T38" s="449">
        <v>13</v>
      </c>
      <c r="U38" s="448">
        <v>261.69</v>
      </c>
      <c r="V38" s="494">
        <v>25</v>
      </c>
      <c r="W38" s="493">
        <v>503.25</v>
      </c>
      <c r="X38" s="494">
        <v>0</v>
      </c>
      <c r="Y38" s="493">
        <v>0</v>
      </c>
      <c r="Z38" s="42">
        <f t="shared" si="9"/>
        <v>150</v>
      </c>
      <c r="AA38" s="43">
        <f t="shared" si="10"/>
        <v>2994.9</v>
      </c>
    </row>
    <row r="39" spans="1:30" s="1" customFormat="1">
      <c r="A39" s="27" t="s">
        <v>12</v>
      </c>
      <c r="B39" s="254">
        <v>20</v>
      </c>
      <c r="C39" s="253">
        <v>402.6</v>
      </c>
      <c r="D39" s="455">
        <v>10</v>
      </c>
      <c r="E39" s="454">
        <v>201.3</v>
      </c>
      <c r="F39" s="455">
        <v>15</v>
      </c>
      <c r="G39" s="454">
        <v>301.95</v>
      </c>
      <c r="H39" s="455">
        <v>0</v>
      </c>
      <c r="I39" s="454">
        <v>0</v>
      </c>
      <c r="J39" s="455">
        <v>40</v>
      </c>
      <c r="K39" s="454">
        <v>739.6</v>
      </c>
      <c r="L39" s="455">
        <v>20</v>
      </c>
      <c r="M39" s="454">
        <v>402.6</v>
      </c>
      <c r="N39" s="455">
        <v>0</v>
      </c>
      <c r="O39" s="454">
        <v>0</v>
      </c>
      <c r="P39" s="457">
        <v>20</v>
      </c>
      <c r="Q39" s="456">
        <v>402.6</v>
      </c>
      <c r="R39" s="455">
        <v>0</v>
      </c>
      <c r="S39" s="454">
        <v>0</v>
      </c>
      <c r="T39" s="449">
        <v>20</v>
      </c>
      <c r="U39" s="448">
        <v>402.6</v>
      </c>
      <c r="V39" s="494">
        <v>0</v>
      </c>
      <c r="W39" s="493">
        <v>0</v>
      </c>
      <c r="X39" s="494">
        <v>10</v>
      </c>
      <c r="Y39" s="493">
        <v>201.3</v>
      </c>
      <c r="Z39" s="42">
        <f t="shared" si="9"/>
        <v>155</v>
      </c>
      <c r="AA39" s="43">
        <f t="shared" si="10"/>
        <v>3054.55</v>
      </c>
    </row>
    <row r="40" spans="1:30" s="141" customFormat="1">
      <c r="A40" s="27" t="s">
        <v>288</v>
      </c>
      <c r="B40" s="351">
        <v>0</v>
      </c>
      <c r="C40" s="350">
        <v>0</v>
      </c>
      <c r="D40" s="455">
        <v>10</v>
      </c>
      <c r="E40" s="454">
        <v>201.3</v>
      </c>
      <c r="F40" s="455">
        <v>10</v>
      </c>
      <c r="G40" s="454">
        <v>201.3</v>
      </c>
      <c r="H40" s="455">
        <v>0</v>
      </c>
      <c r="I40" s="454">
        <v>0</v>
      </c>
      <c r="J40" s="455">
        <v>16</v>
      </c>
      <c r="K40" s="454">
        <v>295.83999999999997</v>
      </c>
      <c r="L40" s="455">
        <v>0</v>
      </c>
      <c r="M40" s="454">
        <v>0</v>
      </c>
      <c r="N40" s="455">
        <v>10</v>
      </c>
      <c r="O40" s="454">
        <v>201.3</v>
      </c>
      <c r="P40" s="457">
        <v>10</v>
      </c>
      <c r="Q40" s="456">
        <v>201.3</v>
      </c>
      <c r="R40" s="455">
        <v>0</v>
      </c>
      <c r="S40" s="454">
        <v>0</v>
      </c>
      <c r="T40" s="449">
        <v>5</v>
      </c>
      <c r="U40" s="448">
        <v>100.65</v>
      </c>
      <c r="V40" s="494">
        <v>0</v>
      </c>
      <c r="W40" s="493">
        <v>0</v>
      </c>
      <c r="X40" s="494">
        <v>10</v>
      </c>
      <c r="Y40" s="493">
        <v>201.3</v>
      </c>
      <c r="Z40" s="42">
        <f t="shared" si="9"/>
        <v>71</v>
      </c>
      <c r="AA40" s="43">
        <f t="shared" si="10"/>
        <v>1402.99</v>
      </c>
    </row>
    <row r="41" spans="1:30" s="1" customFormat="1">
      <c r="A41" s="27" t="s">
        <v>13</v>
      </c>
      <c r="B41" s="15">
        <v>10</v>
      </c>
      <c r="C41" s="10">
        <v>201.3</v>
      </c>
      <c r="D41" s="455">
        <v>3</v>
      </c>
      <c r="E41" s="454">
        <v>60.39</v>
      </c>
      <c r="F41" s="455">
        <v>3</v>
      </c>
      <c r="G41" s="454">
        <v>60.39</v>
      </c>
      <c r="H41" s="455">
        <v>15</v>
      </c>
      <c r="I41" s="454">
        <v>301.95</v>
      </c>
      <c r="J41" s="455">
        <v>12</v>
      </c>
      <c r="K41" s="454">
        <v>221.88</v>
      </c>
      <c r="L41" s="455">
        <v>8</v>
      </c>
      <c r="M41" s="454">
        <v>161.04</v>
      </c>
      <c r="N41" s="455">
        <v>10</v>
      </c>
      <c r="O41" s="454">
        <v>201.3</v>
      </c>
      <c r="P41" s="457">
        <v>7</v>
      </c>
      <c r="Q41" s="456">
        <v>140.91</v>
      </c>
      <c r="R41" s="455">
        <v>5</v>
      </c>
      <c r="S41" s="454">
        <v>100.65</v>
      </c>
      <c r="T41" s="449">
        <v>14</v>
      </c>
      <c r="U41" s="448">
        <v>281.82</v>
      </c>
      <c r="V41" s="494">
        <v>2</v>
      </c>
      <c r="W41" s="493">
        <v>40.26</v>
      </c>
      <c r="X41" s="494">
        <v>15</v>
      </c>
      <c r="Y41" s="493">
        <v>301.95</v>
      </c>
      <c r="Z41" s="42">
        <f t="shared" si="9"/>
        <v>104</v>
      </c>
      <c r="AA41" s="43">
        <f t="shared" si="10"/>
        <v>2073.84</v>
      </c>
      <c r="AD41" s="1">
        <f>2438-1896</f>
        <v>542</v>
      </c>
    </row>
    <row r="42" spans="1:30" s="1" customFormat="1">
      <c r="A42" s="5" t="s">
        <v>14</v>
      </c>
      <c r="B42" s="16">
        <f t="shared" ref="B42:AA42" si="11">SUM(B43:B44)</f>
        <v>0</v>
      </c>
      <c r="C42" s="11">
        <f t="shared" si="11"/>
        <v>0</v>
      </c>
      <c r="D42" s="16">
        <f t="shared" si="11"/>
        <v>0</v>
      </c>
      <c r="E42" s="11">
        <f t="shared" si="11"/>
        <v>0</v>
      </c>
      <c r="F42" s="16">
        <f t="shared" si="11"/>
        <v>0</v>
      </c>
      <c r="G42" s="11">
        <f t="shared" si="11"/>
        <v>0</v>
      </c>
      <c r="H42" s="16">
        <f t="shared" si="11"/>
        <v>44</v>
      </c>
      <c r="I42" s="11">
        <f t="shared" si="11"/>
        <v>885.72</v>
      </c>
      <c r="J42" s="16">
        <f t="shared" si="11"/>
        <v>40</v>
      </c>
      <c r="K42" s="11">
        <f t="shared" si="11"/>
        <v>805.19999999999993</v>
      </c>
      <c r="L42" s="16">
        <f t="shared" si="11"/>
        <v>45</v>
      </c>
      <c r="M42" s="11">
        <f t="shared" si="11"/>
        <v>905.85</v>
      </c>
      <c r="N42" s="16">
        <f t="shared" si="11"/>
        <v>60</v>
      </c>
      <c r="O42" s="11">
        <f t="shared" si="11"/>
        <v>1207.8</v>
      </c>
      <c r="P42" s="16">
        <f t="shared" si="11"/>
        <v>59</v>
      </c>
      <c r="Q42" s="11">
        <f t="shared" si="11"/>
        <v>1187.67</v>
      </c>
      <c r="R42" s="16">
        <f t="shared" si="11"/>
        <v>35</v>
      </c>
      <c r="S42" s="11">
        <f t="shared" si="11"/>
        <v>704.55</v>
      </c>
      <c r="T42" s="16">
        <f t="shared" si="11"/>
        <v>35</v>
      </c>
      <c r="U42" s="11">
        <f t="shared" si="11"/>
        <v>704.55</v>
      </c>
      <c r="V42" s="16">
        <f t="shared" si="11"/>
        <v>40</v>
      </c>
      <c r="W42" s="11">
        <f t="shared" si="11"/>
        <v>805.19999999999993</v>
      </c>
      <c r="X42" s="16">
        <f t="shared" si="11"/>
        <v>30</v>
      </c>
      <c r="Y42" s="11">
        <f t="shared" si="11"/>
        <v>603.9</v>
      </c>
      <c r="Z42" s="16">
        <f t="shared" si="11"/>
        <v>388</v>
      </c>
      <c r="AA42" s="11">
        <f t="shared" si="11"/>
        <v>7810.4399999999987</v>
      </c>
    </row>
    <row r="43" spans="1:30" s="1" customFormat="1">
      <c r="A43" s="28" t="s">
        <v>17</v>
      </c>
      <c r="B43" s="451">
        <v>0</v>
      </c>
      <c r="C43" s="450">
        <v>0</v>
      </c>
      <c r="D43" s="451">
        <v>0</v>
      </c>
      <c r="E43" s="450">
        <v>0</v>
      </c>
      <c r="F43" s="451">
        <v>0</v>
      </c>
      <c r="G43" s="450">
        <v>0</v>
      </c>
      <c r="H43" s="473">
        <v>4</v>
      </c>
      <c r="I43" s="474">
        <v>80.52</v>
      </c>
      <c r="J43" s="473">
        <v>3</v>
      </c>
      <c r="K43" s="474">
        <v>60.39</v>
      </c>
      <c r="L43" s="473">
        <v>4</v>
      </c>
      <c r="M43" s="474">
        <v>80.52</v>
      </c>
      <c r="N43" s="473">
        <v>4</v>
      </c>
      <c r="O43" s="474">
        <v>80.52</v>
      </c>
      <c r="P43" s="473">
        <v>3</v>
      </c>
      <c r="Q43" s="474">
        <v>60.39</v>
      </c>
      <c r="R43" s="457">
        <v>3</v>
      </c>
      <c r="S43" s="456">
        <v>60.39</v>
      </c>
      <c r="T43" s="457">
        <v>3</v>
      </c>
      <c r="U43" s="456">
        <v>60.39</v>
      </c>
      <c r="V43" s="455">
        <v>3</v>
      </c>
      <c r="W43" s="454">
        <v>60.39</v>
      </c>
      <c r="X43" s="494">
        <v>4</v>
      </c>
      <c r="Y43" s="434">
        <v>80.52</v>
      </c>
      <c r="Z43" s="42">
        <f>B43+D43+F43+H43+J43+L43+N43+P43+R43+T43+V43+X43</f>
        <v>31</v>
      </c>
      <c r="AA43" s="43">
        <f>C43+E43+G43+I43+K43+M43+O43+Q43+S43+U43+W43+Y43</f>
        <v>624.03</v>
      </c>
      <c r="AD43" s="507">
        <f>AD41/2438</f>
        <v>0.22231337161607875</v>
      </c>
    </row>
    <row r="44" spans="1:30" s="1" customFormat="1" ht="15.75" thickBot="1">
      <c r="A44" s="28" t="s">
        <v>18</v>
      </c>
      <c r="B44" s="452">
        <v>0</v>
      </c>
      <c r="C44" s="453">
        <v>0</v>
      </c>
      <c r="D44" s="452">
        <v>0</v>
      </c>
      <c r="E44" s="453">
        <v>0</v>
      </c>
      <c r="F44" s="452">
        <v>0</v>
      </c>
      <c r="G44" s="453">
        <v>0</v>
      </c>
      <c r="H44" s="475">
        <v>40</v>
      </c>
      <c r="I44" s="476">
        <v>805.2</v>
      </c>
      <c r="J44" s="475">
        <v>37</v>
      </c>
      <c r="K44" s="476">
        <v>744.81</v>
      </c>
      <c r="L44" s="475">
        <v>41</v>
      </c>
      <c r="M44" s="476">
        <v>825.33</v>
      </c>
      <c r="N44" s="475">
        <v>56</v>
      </c>
      <c r="O44" s="476">
        <v>1127.28</v>
      </c>
      <c r="P44" s="475">
        <v>56</v>
      </c>
      <c r="Q44" s="476">
        <v>1127.28</v>
      </c>
      <c r="R44" s="458">
        <v>32</v>
      </c>
      <c r="S44" s="459">
        <v>644.16</v>
      </c>
      <c r="T44" s="458">
        <v>32</v>
      </c>
      <c r="U44" s="459">
        <v>644.16</v>
      </c>
      <c r="V44" s="455">
        <v>37</v>
      </c>
      <c r="W44" s="454">
        <v>744.81</v>
      </c>
      <c r="X44" s="494">
        <v>26</v>
      </c>
      <c r="Y44" s="434">
        <v>523.38</v>
      </c>
      <c r="Z44" s="42">
        <f>B44+D44+F44+H44+J44+L44+N44+P44+R44+T44+V44+X44</f>
        <v>357</v>
      </c>
      <c r="AA44" s="43">
        <f>C44+E44+G44+I44+K44+M44+O44+Q44+S44+U44+W44+Y44</f>
        <v>7186.4099999999989</v>
      </c>
    </row>
    <row r="45" spans="1:30" s="1" customFormat="1">
      <c r="A45" s="6" t="s">
        <v>15</v>
      </c>
      <c r="B45" s="16">
        <f t="shared" ref="B45:AA45" si="12">SUM(B46:B47)</f>
        <v>2</v>
      </c>
      <c r="C45" s="11">
        <f t="shared" si="12"/>
        <v>40.24</v>
      </c>
      <c r="D45" s="16">
        <f t="shared" si="12"/>
        <v>4</v>
      </c>
      <c r="E45" s="11">
        <f t="shared" si="12"/>
        <v>73.959999999999994</v>
      </c>
      <c r="F45" s="16">
        <f t="shared" si="12"/>
        <v>3</v>
      </c>
      <c r="G45" s="11">
        <f t="shared" si="12"/>
        <v>60.36</v>
      </c>
      <c r="H45" s="16">
        <f t="shared" si="12"/>
        <v>7</v>
      </c>
      <c r="I45" s="11">
        <f t="shared" si="12"/>
        <v>140.84</v>
      </c>
      <c r="J45" s="16">
        <f t="shared" si="12"/>
        <v>3</v>
      </c>
      <c r="K45" s="11">
        <f t="shared" si="12"/>
        <v>60.36</v>
      </c>
      <c r="L45" s="16">
        <f t="shared" si="12"/>
        <v>5</v>
      </c>
      <c r="M45" s="11">
        <f t="shared" si="12"/>
        <v>100.6</v>
      </c>
      <c r="N45" s="16">
        <f t="shared" si="12"/>
        <v>5</v>
      </c>
      <c r="O45" s="11">
        <f t="shared" si="12"/>
        <v>100.6</v>
      </c>
      <c r="P45" s="16">
        <f t="shared" si="12"/>
        <v>3</v>
      </c>
      <c r="Q45" s="11">
        <f t="shared" si="12"/>
        <v>60.36</v>
      </c>
      <c r="R45" s="16">
        <f t="shared" si="12"/>
        <v>7</v>
      </c>
      <c r="S45" s="11">
        <f t="shared" si="12"/>
        <v>140.84</v>
      </c>
      <c r="T45" s="16">
        <f t="shared" si="12"/>
        <v>11</v>
      </c>
      <c r="U45" s="11">
        <f t="shared" si="12"/>
        <v>221.32</v>
      </c>
      <c r="V45" s="16">
        <f t="shared" si="12"/>
        <v>15</v>
      </c>
      <c r="W45" s="11">
        <f t="shared" si="12"/>
        <v>301.8</v>
      </c>
      <c r="X45" s="16">
        <f t="shared" si="12"/>
        <v>9</v>
      </c>
      <c r="Y45" s="11">
        <f t="shared" si="12"/>
        <v>181.07999999999998</v>
      </c>
      <c r="Z45" s="16">
        <f t="shared" si="12"/>
        <v>74</v>
      </c>
      <c r="AA45" s="11">
        <f t="shared" si="12"/>
        <v>1482.3600000000001</v>
      </c>
    </row>
    <row r="46" spans="1:30" s="1" customFormat="1">
      <c r="A46" s="28" t="s">
        <v>17</v>
      </c>
      <c r="B46" s="15">
        <v>0</v>
      </c>
      <c r="C46" s="10">
        <v>0</v>
      </c>
      <c r="D46" s="473">
        <v>1</v>
      </c>
      <c r="E46" s="474">
        <v>18.489999999999998</v>
      </c>
      <c r="F46" s="473">
        <v>0</v>
      </c>
      <c r="G46" s="474">
        <v>0</v>
      </c>
      <c r="H46" s="473">
        <v>1</v>
      </c>
      <c r="I46" s="474">
        <v>20.12</v>
      </c>
      <c r="J46" s="473">
        <v>2</v>
      </c>
      <c r="K46" s="474">
        <v>40.24</v>
      </c>
      <c r="L46" s="473">
        <v>3</v>
      </c>
      <c r="M46" s="474">
        <v>60.36</v>
      </c>
      <c r="N46" s="473">
        <v>0</v>
      </c>
      <c r="O46" s="474">
        <v>0</v>
      </c>
      <c r="P46" s="473">
        <v>1</v>
      </c>
      <c r="Q46" s="474">
        <v>20.12</v>
      </c>
      <c r="R46" s="485">
        <v>3</v>
      </c>
      <c r="S46" s="486">
        <v>60.36</v>
      </c>
      <c r="T46" s="485">
        <v>6</v>
      </c>
      <c r="U46" s="486">
        <v>120.72</v>
      </c>
      <c r="V46" s="485">
        <v>7</v>
      </c>
      <c r="W46" s="486">
        <v>140.84</v>
      </c>
      <c r="X46" s="501">
        <v>5</v>
      </c>
      <c r="Y46" s="502">
        <v>100.6</v>
      </c>
      <c r="Z46" s="42">
        <f>B46+D46+F46+H46+J46+L46+N46+P46+R46+T46+V46+X46</f>
        <v>29</v>
      </c>
      <c r="AA46" s="43">
        <f>C46+E46+G46+I46+K46+M46+O46+Q46+S46+U46+W46+Y46</f>
        <v>581.85</v>
      </c>
    </row>
    <row r="47" spans="1:30" s="1" customFormat="1" ht="15.75" thickBot="1">
      <c r="A47" s="29" t="s">
        <v>16</v>
      </c>
      <c r="B47" s="17">
        <v>2</v>
      </c>
      <c r="C47" s="12">
        <v>40.24</v>
      </c>
      <c r="D47" s="475">
        <v>3</v>
      </c>
      <c r="E47" s="476">
        <v>55.47</v>
      </c>
      <c r="F47" s="475">
        <v>3</v>
      </c>
      <c r="G47" s="476">
        <v>60.36</v>
      </c>
      <c r="H47" s="475">
        <v>6</v>
      </c>
      <c r="I47" s="474">
        <v>120.72</v>
      </c>
      <c r="J47" s="475">
        <v>1</v>
      </c>
      <c r="K47" s="474">
        <v>20.12</v>
      </c>
      <c r="L47" s="475">
        <v>2</v>
      </c>
      <c r="M47" s="474">
        <v>40.24</v>
      </c>
      <c r="N47" s="475">
        <v>5</v>
      </c>
      <c r="O47" s="474">
        <v>100.6</v>
      </c>
      <c r="P47" s="475">
        <v>2</v>
      </c>
      <c r="Q47" s="474">
        <v>40.24</v>
      </c>
      <c r="R47" s="487">
        <v>4</v>
      </c>
      <c r="S47" s="486">
        <v>80.48</v>
      </c>
      <c r="T47" s="487">
        <v>5</v>
      </c>
      <c r="U47" s="486">
        <v>100.6</v>
      </c>
      <c r="V47" s="487">
        <v>8</v>
      </c>
      <c r="W47" s="486">
        <v>160.96</v>
      </c>
      <c r="X47" s="503">
        <v>4</v>
      </c>
      <c r="Y47" s="504">
        <v>80.48</v>
      </c>
      <c r="Z47" s="42">
        <f>B47+D47+F47+H47+J47+L47+N47+P47+R47+T47+V47+X47</f>
        <v>45</v>
      </c>
      <c r="AA47" s="43">
        <f>C47+E47+G47+I47+K47+M47+O47+Q47+S47+U47+W47+Y47</f>
        <v>900.5100000000001</v>
      </c>
    </row>
    <row r="48" spans="1:30" s="1" customFormat="1" ht="15.75" thickBot="1">
      <c r="A48" s="19" t="s">
        <v>23</v>
      </c>
      <c r="B48" s="18">
        <f t="shared" ref="B48:AA48" si="13">B33+B42+B45</f>
        <v>80</v>
      </c>
      <c r="C48" s="13">
        <f t="shared" si="13"/>
        <v>1610.38</v>
      </c>
      <c r="D48" s="18">
        <f t="shared" si="13"/>
        <v>82</v>
      </c>
      <c r="E48" s="13">
        <f t="shared" si="13"/>
        <v>1644.1000000000001</v>
      </c>
      <c r="F48" s="18">
        <f t="shared" si="13"/>
        <v>133</v>
      </c>
      <c r="G48" s="13">
        <f t="shared" si="13"/>
        <v>2677.2599999999998</v>
      </c>
      <c r="H48" s="18">
        <f t="shared" si="13"/>
        <v>108</v>
      </c>
      <c r="I48" s="13">
        <f t="shared" si="13"/>
        <v>2173.9700000000003</v>
      </c>
      <c r="J48" s="18">
        <f t="shared" si="13"/>
        <v>201</v>
      </c>
      <c r="K48" s="13">
        <f t="shared" si="13"/>
        <v>3786.98</v>
      </c>
      <c r="L48" s="18">
        <f t="shared" si="13"/>
        <v>127</v>
      </c>
      <c r="M48" s="13">
        <f t="shared" si="13"/>
        <v>2556.4599999999996</v>
      </c>
      <c r="N48" s="18">
        <f t="shared" si="13"/>
        <v>122</v>
      </c>
      <c r="O48" s="13">
        <f t="shared" si="13"/>
        <v>2455.81</v>
      </c>
      <c r="P48" s="18">
        <f t="shared" si="13"/>
        <v>190</v>
      </c>
      <c r="Q48" s="13">
        <f t="shared" si="13"/>
        <v>3824.67</v>
      </c>
      <c r="R48" s="18">
        <f t="shared" si="13"/>
        <v>87</v>
      </c>
      <c r="S48" s="13">
        <f t="shared" si="13"/>
        <v>1751.24</v>
      </c>
      <c r="T48" s="18">
        <f t="shared" si="13"/>
        <v>141</v>
      </c>
      <c r="U48" s="13">
        <f t="shared" si="13"/>
        <v>2838.2200000000003</v>
      </c>
      <c r="V48" s="18">
        <f t="shared" si="13"/>
        <v>128</v>
      </c>
      <c r="W48" s="13">
        <f t="shared" si="13"/>
        <v>2576.4900000000002</v>
      </c>
      <c r="X48" s="18">
        <f t="shared" si="13"/>
        <v>83</v>
      </c>
      <c r="Y48" s="13">
        <f t="shared" si="13"/>
        <v>1670.6999999999998</v>
      </c>
      <c r="Z48" s="18">
        <f t="shared" si="13"/>
        <v>1482</v>
      </c>
      <c r="AA48" s="13">
        <f t="shared" si="13"/>
        <v>29566.280000000002</v>
      </c>
    </row>
    <row r="49" spans="1:27" s="1" customFormat="1" ht="4.5" customHeight="1"/>
    <row r="50" spans="1:27" s="1" customFormat="1">
      <c r="A50" s="31" t="s">
        <v>1</v>
      </c>
    </row>
    <row r="51" spans="1:27" s="1" customFormat="1" ht="15.75" thickBot="1">
      <c r="A51" s="31" t="s">
        <v>21</v>
      </c>
    </row>
    <row r="52" spans="1:27" s="1" customFormat="1">
      <c r="A52" s="514" t="s">
        <v>4</v>
      </c>
      <c r="B52" s="513">
        <v>43466</v>
      </c>
      <c r="C52" s="510"/>
      <c r="D52" s="513">
        <v>43497</v>
      </c>
      <c r="E52" s="510"/>
      <c r="F52" s="513">
        <v>43525</v>
      </c>
      <c r="G52" s="510"/>
      <c r="H52" s="513">
        <v>43556</v>
      </c>
      <c r="I52" s="510"/>
      <c r="J52" s="513">
        <v>43586</v>
      </c>
      <c r="K52" s="510"/>
      <c r="L52" s="513">
        <v>43617</v>
      </c>
      <c r="M52" s="510"/>
      <c r="N52" s="513">
        <v>43647</v>
      </c>
      <c r="O52" s="510"/>
      <c r="P52" s="513">
        <v>43678</v>
      </c>
      <c r="Q52" s="510"/>
      <c r="R52" s="513">
        <v>43709</v>
      </c>
      <c r="S52" s="510"/>
      <c r="T52" s="513">
        <v>43739</v>
      </c>
      <c r="U52" s="510"/>
      <c r="V52" s="513">
        <v>43770</v>
      </c>
      <c r="W52" s="510"/>
      <c r="X52" s="513">
        <v>43800</v>
      </c>
      <c r="Y52" s="510"/>
      <c r="Z52" s="509" t="s">
        <v>300</v>
      </c>
      <c r="AA52" s="510"/>
    </row>
    <row r="53" spans="1:27" s="1" customFormat="1" ht="15.75" thickBot="1">
      <c r="A53" s="515"/>
      <c r="B53" s="7" t="s">
        <v>5</v>
      </c>
      <c r="C53" s="8" t="s">
        <v>147</v>
      </c>
      <c r="D53" s="7" t="s">
        <v>5</v>
      </c>
      <c r="E53" s="8" t="s">
        <v>147</v>
      </c>
      <c r="F53" s="7" t="s">
        <v>5</v>
      </c>
      <c r="G53" s="8" t="s">
        <v>147</v>
      </c>
      <c r="H53" s="7" t="s">
        <v>5</v>
      </c>
      <c r="I53" s="8" t="s">
        <v>147</v>
      </c>
      <c r="J53" s="7" t="s">
        <v>5</v>
      </c>
      <c r="K53" s="8" t="s">
        <v>147</v>
      </c>
      <c r="L53" s="7" t="s">
        <v>5</v>
      </c>
      <c r="M53" s="8" t="s">
        <v>147</v>
      </c>
      <c r="N53" s="7" t="s">
        <v>5</v>
      </c>
      <c r="O53" s="8" t="s">
        <v>147</v>
      </c>
      <c r="P53" s="7" t="s">
        <v>5</v>
      </c>
      <c r="Q53" s="8" t="s">
        <v>147</v>
      </c>
      <c r="R53" s="7" t="s">
        <v>5</v>
      </c>
      <c r="S53" s="8" t="s">
        <v>147</v>
      </c>
      <c r="T53" s="7" t="s">
        <v>5</v>
      </c>
      <c r="U53" s="8" t="s">
        <v>147</v>
      </c>
      <c r="V53" s="7" t="s">
        <v>5</v>
      </c>
      <c r="W53" s="8" t="s">
        <v>147</v>
      </c>
      <c r="X53" s="7" t="s">
        <v>5</v>
      </c>
      <c r="Y53" s="8" t="s">
        <v>147</v>
      </c>
      <c r="Z53" s="7" t="s">
        <v>5</v>
      </c>
      <c r="AA53" s="8" t="s">
        <v>147</v>
      </c>
    </row>
    <row r="54" spans="1:27" s="1" customFormat="1">
      <c r="A54" s="21" t="s">
        <v>22</v>
      </c>
      <c r="B54" s="23">
        <f t="shared" ref="B54:Y54" si="14">B26</f>
        <v>65</v>
      </c>
      <c r="C54" s="24">
        <f t="shared" si="14"/>
        <v>1201.8500000000001</v>
      </c>
      <c r="D54" s="23">
        <f t="shared" si="14"/>
        <v>55</v>
      </c>
      <c r="E54" s="24">
        <f t="shared" si="14"/>
        <v>1016.95</v>
      </c>
      <c r="F54" s="23">
        <f t="shared" si="14"/>
        <v>84</v>
      </c>
      <c r="G54" s="24">
        <f t="shared" si="14"/>
        <v>1575.9800000000002</v>
      </c>
      <c r="H54" s="23">
        <f t="shared" si="14"/>
        <v>20</v>
      </c>
      <c r="I54" s="24">
        <f t="shared" si="14"/>
        <v>369.8</v>
      </c>
      <c r="J54" s="23">
        <f t="shared" si="14"/>
        <v>39</v>
      </c>
      <c r="K54" s="24">
        <f t="shared" si="14"/>
        <v>721.11</v>
      </c>
      <c r="L54" s="23">
        <f t="shared" si="14"/>
        <v>11</v>
      </c>
      <c r="M54" s="24">
        <f t="shared" si="14"/>
        <v>203.39</v>
      </c>
      <c r="N54" s="23">
        <f t="shared" si="14"/>
        <v>19</v>
      </c>
      <c r="O54" s="24">
        <f t="shared" si="14"/>
        <v>351.31</v>
      </c>
      <c r="P54" s="23">
        <f t="shared" si="14"/>
        <v>26</v>
      </c>
      <c r="Q54" s="24">
        <f t="shared" si="14"/>
        <v>480.73999999999995</v>
      </c>
      <c r="R54" s="23">
        <f t="shared" si="14"/>
        <v>18</v>
      </c>
      <c r="S54" s="24">
        <f t="shared" si="14"/>
        <v>332.82</v>
      </c>
      <c r="T54" s="23">
        <f t="shared" si="14"/>
        <v>29</v>
      </c>
      <c r="U54" s="24">
        <f t="shared" si="14"/>
        <v>536.21</v>
      </c>
      <c r="V54" s="23">
        <f t="shared" si="14"/>
        <v>29</v>
      </c>
      <c r="W54" s="24">
        <f t="shared" si="14"/>
        <v>536.21</v>
      </c>
      <c r="X54" s="23">
        <f t="shared" si="14"/>
        <v>19</v>
      </c>
      <c r="Y54" s="24">
        <f t="shared" si="14"/>
        <v>351.31</v>
      </c>
      <c r="Z54" s="46">
        <f>B54+D54+F54+H54+J54+L54+N54+P54+R54+T54+V54+X54</f>
        <v>414</v>
      </c>
      <c r="AA54" s="47">
        <f>C54+E54+G54+I54+K54+M54+O54+Q54+S54+U54+W54+Y54</f>
        <v>7677.6800000000012</v>
      </c>
    </row>
    <row r="55" spans="1:27" s="1" customFormat="1" ht="15.75" thickBot="1">
      <c r="A55" s="22" t="s">
        <v>23</v>
      </c>
      <c r="B55" s="25">
        <f t="shared" ref="B55:Y55" si="15">B48</f>
        <v>80</v>
      </c>
      <c r="C55" s="26">
        <f t="shared" si="15"/>
        <v>1610.38</v>
      </c>
      <c r="D55" s="25">
        <f t="shared" si="15"/>
        <v>82</v>
      </c>
      <c r="E55" s="26">
        <f t="shared" si="15"/>
        <v>1644.1000000000001</v>
      </c>
      <c r="F55" s="25">
        <f t="shared" si="15"/>
        <v>133</v>
      </c>
      <c r="G55" s="26">
        <f t="shared" si="15"/>
        <v>2677.2599999999998</v>
      </c>
      <c r="H55" s="25">
        <f t="shared" si="15"/>
        <v>108</v>
      </c>
      <c r="I55" s="26">
        <f t="shared" si="15"/>
        <v>2173.9700000000003</v>
      </c>
      <c r="J55" s="25">
        <f t="shared" si="15"/>
        <v>201</v>
      </c>
      <c r="K55" s="26">
        <f t="shared" si="15"/>
        <v>3786.98</v>
      </c>
      <c r="L55" s="25">
        <f t="shared" si="15"/>
        <v>127</v>
      </c>
      <c r="M55" s="26">
        <f t="shared" si="15"/>
        <v>2556.4599999999996</v>
      </c>
      <c r="N55" s="25">
        <f t="shared" si="15"/>
        <v>122</v>
      </c>
      <c r="O55" s="26">
        <f t="shared" si="15"/>
        <v>2455.81</v>
      </c>
      <c r="P55" s="25">
        <f t="shared" si="15"/>
        <v>190</v>
      </c>
      <c r="Q55" s="26">
        <f t="shared" si="15"/>
        <v>3824.67</v>
      </c>
      <c r="R55" s="25">
        <f t="shared" si="15"/>
        <v>87</v>
      </c>
      <c r="S55" s="26">
        <f t="shared" si="15"/>
        <v>1751.24</v>
      </c>
      <c r="T55" s="25">
        <f t="shared" si="15"/>
        <v>141</v>
      </c>
      <c r="U55" s="26">
        <f t="shared" si="15"/>
        <v>2838.2200000000003</v>
      </c>
      <c r="V55" s="25">
        <f t="shared" si="15"/>
        <v>128</v>
      </c>
      <c r="W55" s="26">
        <f t="shared" si="15"/>
        <v>2576.4900000000002</v>
      </c>
      <c r="X55" s="25">
        <f t="shared" si="15"/>
        <v>83</v>
      </c>
      <c r="Y55" s="26">
        <f t="shared" si="15"/>
        <v>1670.6999999999998</v>
      </c>
      <c r="Z55" s="48">
        <f>B55+D55+F55+H55+J55+L55+N55+P55+R55+T55+V55+X55</f>
        <v>1482</v>
      </c>
      <c r="AA55" s="49">
        <f>C55+E55+G55+I55+K55+M55+O55+Q55+S55+U55+W55+Y55</f>
        <v>29566.280000000002</v>
      </c>
    </row>
    <row r="56" spans="1:27" s="1" customFormat="1" ht="15.75" thickBot="1">
      <c r="A56" s="19" t="s">
        <v>24</v>
      </c>
      <c r="B56" s="18">
        <f t="shared" ref="B56:AA56" si="16">SUM(B54:B55)</f>
        <v>145</v>
      </c>
      <c r="C56" s="13">
        <f t="shared" si="16"/>
        <v>2812.2300000000005</v>
      </c>
      <c r="D56" s="18">
        <f t="shared" si="16"/>
        <v>137</v>
      </c>
      <c r="E56" s="13">
        <f t="shared" si="16"/>
        <v>2661.05</v>
      </c>
      <c r="F56" s="18">
        <f t="shared" si="16"/>
        <v>217</v>
      </c>
      <c r="G56" s="13">
        <f t="shared" si="16"/>
        <v>4253.24</v>
      </c>
      <c r="H56" s="18">
        <f t="shared" si="16"/>
        <v>128</v>
      </c>
      <c r="I56" s="13">
        <f t="shared" si="16"/>
        <v>2543.7700000000004</v>
      </c>
      <c r="J56" s="18">
        <f t="shared" si="16"/>
        <v>240</v>
      </c>
      <c r="K56" s="13">
        <f t="shared" si="16"/>
        <v>4508.09</v>
      </c>
      <c r="L56" s="18">
        <f t="shared" si="16"/>
        <v>138</v>
      </c>
      <c r="M56" s="13">
        <f t="shared" si="16"/>
        <v>2759.8499999999995</v>
      </c>
      <c r="N56" s="18">
        <f t="shared" si="16"/>
        <v>141</v>
      </c>
      <c r="O56" s="13">
        <f t="shared" si="16"/>
        <v>2807.12</v>
      </c>
      <c r="P56" s="18">
        <f t="shared" si="16"/>
        <v>216</v>
      </c>
      <c r="Q56" s="13">
        <f t="shared" si="16"/>
        <v>4305.41</v>
      </c>
      <c r="R56" s="18">
        <f t="shared" si="16"/>
        <v>105</v>
      </c>
      <c r="S56" s="13">
        <f t="shared" si="16"/>
        <v>2084.06</v>
      </c>
      <c r="T56" s="18">
        <f t="shared" si="16"/>
        <v>170</v>
      </c>
      <c r="U56" s="13">
        <f t="shared" si="16"/>
        <v>3374.4300000000003</v>
      </c>
      <c r="V56" s="18">
        <f t="shared" si="16"/>
        <v>157</v>
      </c>
      <c r="W56" s="13">
        <f t="shared" si="16"/>
        <v>3112.7000000000003</v>
      </c>
      <c r="X56" s="18">
        <f t="shared" si="16"/>
        <v>102</v>
      </c>
      <c r="Y56" s="13">
        <f t="shared" si="16"/>
        <v>2022.0099999999998</v>
      </c>
      <c r="Z56" s="18">
        <f t="shared" si="16"/>
        <v>1896</v>
      </c>
      <c r="AA56" s="13">
        <f t="shared" si="16"/>
        <v>37243.960000000006</v>
      </c>
    </row>
  </sheetData>
  <protectedRanges>
    <protectedRange sqref="B34:C41 V34:W41 T12:Y18 B24:Y25 Y43:Y44 B46:Y47 B43:Q44 H21:S22 T19:W19 X21:Y22" name="Intervalo1" securityDescriptor="O:WDG:WDD:(A;;CC;;;WD)"/>
    <protectedRange sqref="T34:W41" name="Intervalo1_1" securityDescriptor="O:WDG:WDD:(A;;CC;;;WD)"/>
    <protectedRange sqref="B12:C19" name="Intervalo1_11" securityDescriptor="O:WDG:WDD:(A;;CC;;;WD)"/>
    <protectedRange sqref="D12:G19" name="Intervalo1_3_1_1" securityDescriptor="O:WDG:WDD:(A;;CC;;;WD)"/>
    <protectedRange sqref="D34:G41" name="Intervalo1_4_1" securityDescriptor="O:WDG:WDD:(A;;CC;;;WD)"/>
    <protectedRange sqref="B21:G22" name="Intervalo1_4" securityDescriptor="O:WDG:WDD:(A;;CC;;;WD)"/>
    <protectedRange sqref="H19:I19" name="Intervalo1_13" securityDescriptor="O:WDG:WDD:(A;;CC;;;WD)"/>
    <protectedRange sqref="H12:I18" name="Intervalo1_3_1" securityDescriptor="O:WDG:WDD:(A;;CC;;;WD)"/>
    <protectedRange sqref="J12:K19" name="Intervalo1_12_1" securityDescriptor="O:WDG:WDD:(A;;CC;;;WD)"/>
    <protectedRange sqref="H34:K41" name="Intervalo1_14" securityDescriptor="O:WDG:WDD:(A;;CC;;;WD)"/>
    <protectedRange sqref="L12:M19" name="Intervalo1_5_1" securityDescriptor="O:WDG:WDD:(A;;CC;;;WD)"/>
    <protectedRange sqref="N12:O19" name="Intervalo1_7_1" securityDescriptor="O:WDG:WDD:(A;;CC;;;WD)"/>
    <protectedRange sqref="L34:M41" name="Intervalo1_6_1" securityDescriptor="O:WDG:WDD:(A;;CC;;;WD)"/>
    <protectedRange sqref="N34:O41" name="Intervalo1_8_1" securityDescriptor="O:WDG:WDD:(A;;CC;;;WD)"/>
    <protectedRange sqref="P12:Q19" name="Intervalo1_9_1" securityDescriptor="O:WDG:WDD:(A;;CC;;;WD)"/>
    <protectedRange sqref="P34:Q41" name="Intervalo1_10_1" securityDescriptor="O:WDG:WDD:(A;;CC;;;WD)"/>
    <protectedRange sqref="R12:S19" name="Intervalo1_3" securityDescriptor="O:WDG:WDD:(A;;CC;;;WD)"/>
    <protectedRange sqref="R34:S41" name="Intervalo1_5" securityDescriptor="O:WDG:WDD:(A;;CC;;;WD)"/>
    <protectedRange sqref="V44:W44 R43:U44" name="Intervalo1_6" securityDescriptor="O:WDG:WDD:(A;;CC;;;WD)"/>
    <protectedRange sqref="V43:W43" name="Intervalo1_2_1" securityDescriptor="O:WDG:WDD:(A;;CC;;;WD)"/>
    <protectedRange sqref="X19:Y19" name="Intervalo1_2" securityDescriptor="O:WDG:WDD:(A;;CC;;;WD)"/>
    <protectedRange sqref="X34:Y41" name="Intervalo1_7" securityDescriptor="O:WDG:WDD:(A;;CC;;;WD)"/>
    <protectedRange sqref="T21:W22" name="Intervalo1_8" securityDescriptor="O:WDG:WDD:(A;;CC;;;WD)"/>
    <protectedRange sqref="X43:X44" name="Intervalo1_9" securityDescriptor="O:WDG:WDD:(A;;CC;;;WD)"/>
  </protectedRanges>
  <customSheetViews>
    <customSheetView guid="{DFED14A5-FC7F-4CB0-A970-C00E731629C6}" scale="85" showPageBreaks="1" fitToPage="1">
      <selection activeCell="G8" sqref="G8"/>
      <pageMargins left="0.39370078740157483" right="0.39370078740157483" top="0.39370078740157483" bottom="0.39370078740157483" header="0.31496062992125984" footer="0.31496062992125984"/>
      <pageSetup paperSize="9" scale="41" orientation="landscape" verticalDpi="0" r:id="rId1"/>
    </customSheetView>
  </customSheetViews>
  <mergeCells count="44">
    <mergeCell ref="V9:W9"/>
    <mergeCell ref="X9:Y9"/>
    <mergeCell ref="A9:A10"/>
    <mergeCell ref="L9:M9"/>
    <mergeCell ref="N9:O9"/>
    <mergeCell ref="P9:Q9"/>
    <mergeCell ref="R9:S9"/>
    <mergeCell ref="T9:U9"/>
    <mergeCell ref="B9:C9"/>
    <mergeCell ref="D9:E9"/>
    <mergeCell ref="F9:G9"/>
    <mergeCell ref="H9:I9"/>
    <mergeCell ref="J9:K9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52:A53"/>
    <mergeCell ref="B52:C52"/>
    <mergeCell ref="D52:E52"/>
    <mergeCell ref="F52:G52"/>
    <mergeCell ref="H52:I52"/>
    <mergeCell ref="Z9:AA9"/>
    <mergeCell ref="Z31:AA31"/>
    <mergeCell ref="Z52:AA52"/>
    <mergeCell ref="C1:W2"/>
    <mergeCell ref="C3:W4"/>
    <mergeCell ref="T31:U31"/>
    <mergeCell ref="V31:W31"/>
    <mergeCell ref="X31:Y31"/>
    <mergeCell ref="J52:K52"/>
    <mergeCell ref="L52:M52"/>
    <mergeCell ref="N52:O52"/>
    <mergeCell ref="P52:Q52"/>
    <mergeCell ref="R52:S52"/>
    <mergeCell ref="T52:U52"/>
    <mergeCell ref="V52:W52"/>
    <mergeCell ref="X52:Y52"/>
  </mergeCells>
  <pageMargins left="0.39370078740157483" right="0.39370078740157483" top="0.39370078740157483" bottom="0.39370078740157483" header="0.31496062992125984" footer="0.31496062992125984"/>
  <pageSetup paperSize="9" scale="37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4"/>
  <sheetViews>
    <sheetView zoomScale="85" zoomScaleNormal="85" workbookViewId="0">
      <selection activeCell="G18" sqref="G18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1" t="s">
        <v>0</v>
      </c>
      <c r="C1" s="511"/>
      <c r="D1" s="511"/>
      <c r="E1" s="51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1"/>
      <c r="C2" s="511"/>
      <c r="D2" s="511"/>
      <c r="E2" s="51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48" t="s">
        <v>111</v>
      </c>
      <c r="C3" s="548"/>
      <c r="D3" s="548"/>
      <c r="E3" s="54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48"/>
      <c r="C4" s="548"/>
      <c r="D4" s="548"/>
      <c r="E4" s="548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112</v>
      </c>
    </row>
    <row r="8" spans="1:21" ht="15.75" thickBot="1">
      <c r="A8" s="31" t="s">
        <v>113</v>
      </c>
    </row>
    <row r="9" spans="1:21" ht="31.5" customHeight="1">
      <c r="A9" s="514" t="s">
        <v>4</v>
      </c>
      <c r="B9" s="518" t="s">
        <v>299</v>
      </c>
      <c r="C9" s="519"/>
      <c r="D9" s="520"/>
    </row>
    <row r="10" spans="1:21" ht="30.75" thickBot="1">
      <c r="A10" s="515"/>
      <c r="B10" s="102" t="s">
        <v>148</v>
      </c>
      <c r="C10" s="102" t="s">
        <v>149</v>
      </c>
      <c r="D10" s="36" t="s">
        <v>114</v>
      </c>
    </row>
    <row r="11" spans="1:21">
      <c r="A11" s="4" t="s">
        <v>6</v>
      </c>
      <c r="B11" s="86"/>
      <c r="C11" s="87"/>
      <c r="D11" s="88"/>
    </row>
    <row r="12" spans="1:21">
      <c r="A12" s="5" t="s">
        <v>14</v>
      </c>
      <c r="B12" s="406">
        <v>667212.48</v>
      </c>
      <c r="C12" s="505">
        <v>14413.92</v>
      </c>
      <c r="D12" s="405">
        <v>10</v>
      </c>
    </row>
    <row r="13" spans="1:21" ht="15.75" thickBot="1">
      <c r="A13" s="6" t="s">
        <v>15</v>
      </c>
      <c r="B13" s="403"/>
      <c r="C13" s="404"/>
      <c r="D13" s="405"/>
    </row>
    <row r="14" spans="1:21" ht="15.75" thickBot="1">
      <c r="A14" s="38" t="s">
        <v>47</v>
      </c>
      <c r="B14" s="64">
        <f>B11+B12+B13</f>
        <v>667212.48</v>
      </c>
      <c r="C14" s="65">
        <f>C11+C12+C13</f>
        <v>14413.92</v>
      </c>
      <c r="D14" s="54">
        <f>D11+D12+D13</f>
        <v>10</v>
      </c>
    </row>
  </sheetData>
  <protectedRanges>
    <protectedRange sqref="B11:D11 B13:D13" name="Intervalo1" securityDescriptor="O:WDG:WDD:(A;;CC;;;WD)"/>
    <protectedRange sqref="B12:D12" name="Intervalo1_1" securityDescriptor="O:WDG:WDD:(A;;CC;;;WD)"/>
  </protectedRanges>
  <customSheetViews>
    <customSheetView guid="{DFED14A5-FC7F-4CB0-A970-C00E731629C6}" scale="85">
      <selection activeCell="B11" sqref="B11"/>
      <pageMargins left="0.511811024" right="0.511811024" top="0.78740157499999996" bottom="0.78740157499999996" header="0.31496062000000002" footer="0.31496062000000002"/>
    </customSheetView>
  </customSheetViews>
  <mergeCells count="4">
    <mergeCell ref="A9:A10"/>
    <mergeCell ref="B9:D9"/>
    <mergeCell ref="B1:E2"/>
    <mergeCell ref="B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8"/>
  <sheetViews>
    <sheetView zoomScale="85" zoomScaleNormal="85" workbookViewId="0">
      <selection activeCell="B13" sqref="B13:D13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1" t="s">
        <v>0</v>
      </c>
      <c r="C1" s="511"/>
      <c r="D1" s="511"/>
      <c r="E1" s="51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1"/>
      <c r="C2" s="511"/>
      <c r="D2" s="511"/>
      <c r="E2" s="51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48" t="s">
        <v>115</v>
      </c>
      <c r="C3" s="548"/>
      <c r="D3" s="548"/>
      <c r="E3" s="54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48"/>
      <c r="C4" s="548"/>
      <c r="D4" s="548"/>
      <c r="E4" s="548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116</v>
      </c>
    </row>
    <row r="8" spans="1:21">
      <c r="A8" s="31" t="s">
        <v>117</v>
      </c>
    </row>
    <row r="9" spans="1:21" ht="15.75" thickBot="1">
      <c r="A9" s="31" t="s">
        <v>118</v>
      </c>
    </row>
    <row r="10" spans="1:21">
      <c r="A10" s="514" t="s">
        <v>4</v>
      </c>
      <c r="B10" s="518" t="s">
        <v>299</v>
      </c>
      <c r="C10" s="519"/>
      <c r="D10" s="520"/>
    </row>
    <row r="11" spans="1:21" ht="30.75" thickBot="1">
      <c r="A11" s="515"/>
      <c r="B11" s="102" t="s">
        <v>148</v>
      </c>
      <c r="C11" s="102" t="s">
        <v>149</v>
      </c>
      <c r="D11" s="36" t="s">
        <v>119</v>
      </c>
    </row>
    <row r="12" spans="1:21">
      <c r="A12" s="4" t="s">
        <v>6</v>
      </c>
      <c r="B12" s="86">
        <v>558966.72</v>
      </c>
      <c r="C12" s="347">
        <v>20797.229999999981</v>
      </c>
      <c r="D12" s="286">
        <v>51294.96</v>
      </c>
    </row>
    <row r="13" spans="1:21">
      <c r="A13" s="5" t="s">
        <v>14</v>
      </c>
      <c r="B13" s="406">
        <v>141689.64000000001</v>
      </c>
      <c r="C13" s="407">
        <v>12075.36</v>
      </c>
      <c r="D13" s="408">
        <v>20067.96</v>
      </c>
    </row>
    <row r="14" spans="1:21" ht="15.75" thickBot="1">
      <c r="A14" s="6" t="s">
        <v>15</v>
      </c>
      <c r="B14" s="406"/>
      <c r="C14" s="407"/>
      <c r="D14" s="408"/>
    </row>
    <row r="15" spans="1:21" ht="15.75" thickBot="1">
      <c r="A15" s="38" t="s">
        <v>47</v>
      </c>
      <c r="B15" s="64">
        <f>B12+B13+B14</f>
        <v>700656.36</v>
      </c>
      <c r="C15" s="65">
        <f>C12+C13+C14</f>
        <v>32872.589999999982</v>
      </c>
      <c r="D15" s="66">
        <f>D12+D13+D14</f>
        <v>71362.92</v>
      </c>
    </row>
    <row r="18" spans="5:5">
      <c r="E18" s="366"/>
    </row>
  </sheetData>
  <protectedRanges>
    <protectedRange sqref="B14:D14" name="Intervalo1" securityDescriptor="O:WDG:WDD:(A;;CC;;;WD)"/>
    <protectedRange sqref="B12:D12" name="Intervalo1_1" securityDescriptor="O:WDG:WDD:(A;;CC;;;WD)"/>
    <protectedRange sqref="B13:D13" name="Intervalo1_2" securityDescriptor="O:WDG:WDD:(A;;CC;;;WD)"/>
  </protectedRanges>
  <customSheetViews>
    <customSheetView guid="{DFED14A5-FC7F-4CB0-A970-C00E731629C6}" scale="85">
      <selection activeCell="B14" sqref="B14"/>
      <pageMargins left="0.511811024" right="0.511811024" top="0.78740157499999996" bottom="0.78740157499999996" header="0.31496062000000002" footer="0.31496062000000002"/>
    </customSheetView>
  </customSheetViews>
  <mergeCells count="4">
    <mergeCell ref="A10:A11"/>
    <mergeCell ref="B10:D10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8"/>
  <sheetViews>
    <sheetView zoomScale="85" zoomScaleNormal="85" workbookViewId="0">
      <selection activeCell="B18" sqref="B18"/>
    </sheetView>
  </sheetViews>
  <sheetFormatPr defaultColWidth="9.140625" defaultRowHeight="15"/>
  <cols>
    <col min="1" max="1" width="31.5703125" style="1" customWidth="1"/>
    <col min="2" max="2" width="23.5703125" style="1" customWidth="1"/>
    <col min="3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1" t="s">
        <v>0</v>
      </c>
      <c r="C1" s="511"/>
      <c r="D1" s="511"/>
      <c r="E1" s="51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1"/>
      <c r="C2" s="511"/>
      <c r="D2" s="511"/>
      <c r="E2" s="51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48" t="s">
        <v>115</v>
      </c>
      <c r="C3" s="548"/>
      <c r="D3" s="548"/>
      <c r="E3" s="54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48"/>
      <c r="C4" s="548"/>
      <c r="D4" s="548"/>
      <c r="E4" s="548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 ht="15.75" thickBot="1">
      <c r="A7" s="31" t="s">
        <v>120</v>
      </c>
    </row>
    <row r="8" spans="1:21" ht="15" customHeight="1" thickBot="1">
      <c r="A8" s="514" t="s">
        <v>4</v>
      </c>
      <c r="B8" s="78" t="s">
        <v>299</v>
      </c>
    </row>
    <row r="9" spans="1:21" ht="15.75" thickBot="1">
      <c r="A9" s="515"/>
      <c r="B9" s="497" t="s">
        <v>150</v>
      </c>
    </row>
    <row r="10" spans="1:21">
      <c r="A10" s="4" t="s">
        <v>6</v>
      </c>
      <c r="B10" s="496">
        <v>383491.27</v>
      </c>
    </row>
    <row r="11" spans="1:21">
      <c r="A11" s="5" t="s">
        <v>14</v>
      </c>
      <c r="B11" s="499">
        <v>0</v>
      </c>
    </row>
    <row r="12" spans="1:21" ht="15.75" thickBot="1">
      <c r="A12" s="6" t="s">
        <v>15</v>
      </c>
      <c r="B12" s="498">
        <v>179305.9</v>
      </c>
    </row>
    <row r="13" spans="1:21" ht="15.75" thickBot="1">
      <c r="A13" s="38" t="s">
        <v>47</v>
      </c>
      <c r="B13" s="495">
        <f>B10+B11+B12</f>
        <v>562797.17000000004</v>
      </c>
    </row>
    <row r="17" spans="2:2">
      <c r="B17" s="1">
        <f>284581.6-562797.17</f>
        <v>-278215.57000000007</v>
      </c>
    </row>
    <row r="18" spans="2:2">
      <c r="B18" s="507">
        <f>B17/284581.6</f>
        <v>-0.97763021221329871</v>
      </c>
    </row>
  </sheetData>
  <protectedRanges>
    <protectedRange sqref="B10:B12" name="Intervalo1" securityDescriptor="O:WDG:WDD:(A;;CC;;;WD)"/>
  </protectedRanges>
  <customSheetViews>
    <customSheetView guid="{DFED14A5-FC7F-4CB0-A970-C00E731629C6}" scale="85">
      <selection activeCell="B10" sqref="B10"/>
      <pageMargins left="0.511811024" right="0.511811024" top="0.78740157499999996" bottom="0.78740157499999996" header="0.31496062000000002" footer="0.31496062000000002"/>
    </customSheetView>
  </customSheetViews>
  <mergeCells count="3">
    <mergeCell ref="A8:A9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I59"/>
  <sheetViews>
    <sheetView tabSelected="1" topLeftCell="A19" zoomScale="85" zoomScaleNormal="85" workbookViewId="0">
      <selection activeCell="I47" sqref="I47"/>
    </sheetView>
  </sheetViews>
  <sheetFormatPr defaultColWidth="9.140625" defaultRowHeight="15"/>
  <cols>
    <col min="1" max="1" width="29.42578125" style="1" customWidth="1"/>
    <col min="2" max="3" width="19" style="1" customWidth="1"/>
    <col min="4" max="15" width="17.7109375" style="1" customWidth="1"/>
    <col min="16" max="16" width="21.140625" style="1" customWidth="1"/>
    <col min="17" max="25" width="13.85546875" style="1" customWidth="1"/>
    <col min="26" max="27" width="19.28515625" style="1" customWidth="1"/>
    <col min="28" max="39" width="13.85546875" style="1" customWidth="1"/>
    <col min="40" max="16384" width="9.140625" style="1"/>
  </cols>
  <sheetData>
    <row r="1" spans="1:35" ht="23.25">
      <c r="B1" s="511" t="s">
        <v>0</v>
      </c>
      <c r="C1" s="511"/>
      <c r="D1" s="511"/>
      <c r="E1" s="511"/>
      <c r="F1" s="511"/>
      <c r="G1" s="511"/>
      <c r="H1" s="511"/>
      <c r="I1" s="511"/>
      <c r="J1" s="30"/>
      <c r="K1" s="30"/>
      <c r="L1" s="30"/>
      <c r="M1" s="30"/>
      <c r="N1" s="30"/>
      <c r="O1" s="30"/>
      <c r="P1" s="30"/>
      <c r="Q1" s="30"/>
      <c r="R1" s="2"/>
      <c r="S1" s="2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23.25">
      <c r="B2" s="511"/>
      <c r="C2" s="511"/>
      <c r="D2" s="511"/>
      <c r="E2" s="511"/>
      <c r="F2" s="511"/>
      <c r="G2" s="511"/>
      <c r="H2" s="511"/>
      <c r="I2" s="511"/>
      <c r="J2" s="30"/>
      <c r="K2" s="30"/>
      <c r="L2" s="30"/>
      <c r="M2" s="30"/>
      <c r="N2" s="30"/>
      <c r="O2" s="30"/>
      <c r="P2" s="30"/>
      <c r="Q2" s="30"/>
      <c r="R2" s="2"/>
      <c r="S2" s="2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>
      <c r="B3" s="512" t="s">
        <v>121</v>
      </c>
      <c r="C3" s="512"/>
      <c r="D3" s="512"/>
      <c r="E3" s="512"/>
      <c r="F3" s="512"/>
      <c r="G3" s="512"/>
      <c r="H3" s="512"/>
      <c r="I3" s="512"/>
      <c r="J3" s="50"/>
      <c r="K3" s="50"/>
      <c r="L3" s="50"/>
      <c r="M3" s="50"/>
      <c r="N3" s="50"/>
      <c r="O3" s="50"/>
      <c r="P3" s="50"/>
      <c r="Q3" s="50"/>
      <c r="R3" s="32"/>
      <c r="S3" s="32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>
      <c r="B4" s="512"/>
      <c r="C4" s="512"/>
      <c r="D4" s="512"/>
      <c r="E4" s="512"/>
      <c r="F4" s="512"/>
      <c r="G4" s="512"/>
      <c r="H4" s="512"/>
      <c r="I4" s="512"/>
      <c r="J4" s="50"/>
      <c r="K4" s="50"/>
      <c r="L4" s="50"/>
      <c r="M4" s="50"/>
      <c r="N4" s="50"/>
      <c r="O4" s="50"/>
      <c r="P4" s="50"/>
      <c r="Q4" s="50"/>
      <c r="R4" s="32"/>
      <c r="S4" s="32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6" spans="1:35">
      <c r="A6" s="31" t="s">
        <v>1</v>
      </c>
    </row>
    <row r="7" spans="1:35">
      <c r="A7" s="31" t="s">
        <v>122</v>
      </c>
    </row>
    <row r="8" spans="1:35">
      <c r="A8" s="31" t="s">
        <v>123</v>
      </c>
    </row>
    <row r="9" spans="1:35" ht="15.75" thickBot="1">
      <c r="A9" s="31" t="s">
        <v>124</v>
      </c>
    </row>
    <row r="10" spans="1:35" ht="30.75" thickBot="1">
      <c r="A10" s="101" t="s">
        <v>4</v>
      </c>
      <c r="B10" s="536" t="s">
        <v>134</v>
      </c>
      <c r="C10" s="537"/>
      <c r="D10" s="368">
        <v>43466</v>
      </c>
      <c r="E10" s="368">
        <v>43497</v>
      </c>
      <c r="F10" s="368">
        <v>43525</v>
      </c>
      <c r="G10" s="368">
        <v>43556</v>
      </c>
      <c r="H10" s="368">
        <v>43586</v>
      </c>
      <c r="I10" s="368">
        <v>43617</v>
      </c>
      <c r="J10" s="368">
        <v>43647</v>
      </c>
      <c r="K10" s="368">
        <v>43678</v>
      </c>
      <c r="L10" s="368">
        <v>43709</v>
      </c>
      <c r="M10" s="368">
        <v>43739</v>
      </c>
      <c r="N10" s="368">
        <v>43770</v>
      </c>
      <c r="O10" s="368">
        <v>43800</v>
      </c>
      <c r="P10" s="130" t="s">
        <v>128</v>
      </c>
    </row>
    <row r="11" spans="1:35">
      <c r="A11" s="535" t="s">
        <v>6</v>
      </c>
      <c r="B11" s="552" t="s">
        <v>125</v>
      </c>
      <c r="C11" s="131" t="s">
        <v>129</v>
      </c>
      <c r="D11" s="445">
        <v>1802</v>
      </c>
      <c r="E11" s="445">
        <v>1718</v>
      </c>
      <c r="F11" s="461">
        <v>1142</v>
      </c>
      <c r="G11" s="439">
        <v>2811</v>
      </c>
      <c r="H11" s="445">
        <v>2232</v>
      </c>
      <c r="I11" s="445">
        <v>2084</v>
      </c>
      <c r="J11" s="445">
        <v>1480</v>
      </c>
      <c r="K11" s="445">
        <v>2091</v>
      </c>
      <c r="L11" s="461">
        <v>1941</v>
      </c>
      <c r="M11" s="461">
        <v>2052</v>
      </c>
      <c r="N11" s="445">
        <v>1777</v>
      </c>
      <c r="O11" s="445">
        <v>971</v>
      </c>
      <c r="P11" s="135">
        <f>SUM(D11:O11)</f>
        <v>22101</v>
      </c>
    </row>
    <row r="12" spans="1:35">
      <c r="A12" s="554"/>
      <c r="B12" s="553"/>
      <c r="C12" s="132" t="s">
        <v>130</v>
      </c>
      <c r="D12" s="446">
        <v>145.74</v>
      </c>
      <c r="E12" s="446">
        <v>162</v>
      </c>
      <c r="F12" s="460">
        <v>123</v>
      </c>
      <c r="G12" s="442">
        <v>324</v>
      </c>
      <c r="H12" s="446">
        <v>298.95999999999998</v>
      </c>
      <c r="I12" s="446">
        <v>181.05</v>
      </c>
      <c r="J12" s="446">
        <v>121.74</v>
      </c>
      <c r="K12" s="446">
        <v>201.6</v>
      </c>
      <c r="L12" s="460">
        <v>259</v>
      </c>
      <c r="M12" s="460">
        <v>256</v>
      </c>
      <c r="N12" s="446">
        <v>214</v>
      </c>
      <c r="O12" s="446">
        <v>140.22999999999999</v>
      </c>
      <c r="P12" s="75">
        <f t="shared" ref="P12:P19" si="0">SUM(D12:O12)</f>
        <v>2427.3200000000002</v>
      </c>
    </row>
    <row r="13" spans="1:35" ht="15.75" thickBot="1">
      <c r="A13" s="554"/>
      <c r="B13" s="549"/>
      <c r="C13" s="133" t="s">
        <v>147</v>
      </c>
      <c r="D13" s="447">
        <v>648</v>
      </c>
      <c r="E13" s="447">
        <v>715.53</v>
      </c>
      <c r="F13" s="462">
        <v>558.37</v>
      </c>
      <c r="G13" s="441">
        <v>1495.52</v>
      </c>
      <c r="H13" s="447">
        <v>1404.88</v>
      </c>
      <c r="I13" s="447">
        <v>856.68</v>
      </c>
      <c r="J13" s="447">
        <v>549.23</v>
      </c>
      <c r="K13" s="447">
        <v>898.22</v>
      </c>
      <c r="L13" s="462">
        <v>1179.44</v>
      </c>
      <c r="M13" s="462">
        <v>1190.99</v>
      </c>
      <c r="N13" s="447">
        <v>1027</v>
      </c>
      <c r="O13" s="447">
        <v>673.01</v>
      </c>
      <c r="P13" s="134">
        <f t="shared" si="0"/>
        <v>11196.87</v>
      </c>
    </row>
    <row r="14" spans="1:35">
      <c r="A14" s="554"/>
      <c r="B14" s="552" t="s">
        <v>126</v>
      </c>
      <c r="C14" s="131" t="s">
        <v>129</v>
      </c>
      <c r="D14" s="415">
        <v>0</v>
      </c>
      <c r="E14" s="415">
        <v>0</v>
      </c>
      <c r="F14" s="419">
        <v>0</v>
      </c>
      <c r="G14" s="439">
        <v>0</v>
      </c>
      <c r="H14" s="439">
        <v>0</v>
      </c>
      <c r="I14" s="439">
        <v>0</v>
      </c>
      <c r="J14" s="329">
        <v>0</v>
      </c>
      <c r="K14" s="329">
        <v>0</v>
      </c>
      <c r="L14" s="461">
        <v>0</v>
      </c>
      <c r="M14" s="461">
        <v>0</v>
      </c>
      <c r="N14" s="461">
        <v>0</v>
      </c>
      <c r="O14" s="461">
        <v>0</v>
      </c>
      <c r="P14" s="135">
        <f t="shared" si="0"/>
        <v>0</v>
      </c>
    </row>
    <row r="15" spans="1:35">
      <c r="A15" s="554"/>
      <c r="B15" s="553"/>
      <c r="C15" s="132" t="s">
        <v>130</v>
      </c>
      <c r="D15" s="416">
        <v>0</v>
      </c>
      <c r="E15" s="416">
        <v>0</v>
      </c>
      <c r="F15" s="418">
        <v>0</v>
      </c>
      <c r="G15" s="440">
        <v>0</v>
      </c>
      <c r="H15" s="440">
        <v>0</v>
      </c>
      <c r="I15" s="440">
        <v>0</v>
      </c>
      <c r="J15" s="328">
        <v>0</v>
      </c>
      <c r="K15" s="328">
        <v>0</v>
      </c>
      <c r="L15" s="460">
        <v>0</v>
      </c>
      <c r="M15" s="460">
        <v>0</v>
      </c>
      <c r="N15" s="460">
        <v>0</v>
      </c>
      <c r="O15" s="460">
        <v>0</v>
      </c>
      <c r="P15" s="75">
        <f t="shared" si="0"/>
        <v>0</v>
      </c>
    </row>
    <row r="16" spans="1:35" ht="15.75" thickBot="1">
      <c r="A16" s="554"/>
      <c r="B16" s="549"/>
      <c r="C16" s="133" t="s">
        <v>147</v>
      </c>
      <c r="D16" s="417">
        <v>0</v>
      </c>
      <c r="E16" s="417">
        <v>0</v>
      </c>
      <c r="F16" s="420">
        <v>0</v>
      </c>
      <c r="G16" s="441">
        <v>0</v>
      </c>
      <c r="H16" s="441">
        <v>0</v>
      </c>
      <c r="I16" s="441">
        <v>0</v>
      </c>
      <c r="J16" s="330">
        <v>0</v>
      </c>
      <c r="K16" s="330">
        <v>0</v>
      </c>
      <c r="L16" s="462">
        <v>0</v>
      </c>
      <c r="M16" s="462">
        <v>0</v>
      </c>
      <c r="N16" s="462">
        <v>0</v>
      </c>
      <c r="O16" s="462">
        <v>0</v>
      </c>
      <c r="P16" s="134">
        <f t="shared" si="0"/>
        <v>0</v>
      </c>
    </row>
    <row r="17" spans="1:16">
      <c r="A17" s="554"/>
      <c r="B17" s="552" t="s">
        <v>127</v>
      </c>
      <c r="C17" s="131" t="s">
        <v>129</v>
      </c>
      <c r="D17" s="445">
        <v>92</v>
      </c>
      <c r="E17" s="445">
        <v>99</v>
      </c>
      <c r="F17" s="461">
        <v>912</v>
      </c>
      <c r="G17" s="439">
        <v>877</v>
      </c>
      <c r="H17" s="480">
        <v>629</v>
      </c>
      <c r="I17" s="461">
        <v>885</v>
      </c>
      <c r="J17" s="461">
        <v>37</v>
      </c>
      <c r="K17" s="461">
        <v>110</v>
      </c>
      <c r="L17" s="461">
        <v>135</v>
      </c>
      <c r="M17" s="461">
        <v>668</v>
      </c>
      <c r="N17" s="445">
        <v>113</v>
      </c>
      <c r="O17" s="445">
        <v>628</v>
      </c>
      <c r="P17" s="135">
        <f t="shared" si="0"/>
        <v>5185</v>
      </c>
    </row>
    <row r="18" spans="1:16">
      <c r="A18" s="554"/>
      <c r="B18" s="553"/>
      <c r="C18" s="132" t="s">
        <v>130</v>
      </c>
      <c r="D18" s="446">
        <v>0</v>
      </c>
      <c r="E18" s="446">
        <v>26.92</v>
      </c>
      <c r="F18" s="460">
        <v>58.26</v>
      </c>
      <c r="G18" s="440">
        <v>81</v>
      </c>
      <c r="H18" s="480">
        <v>91.16</v>
      </c>
      <c r="I18" s="460">
        <v>100.25</v>
      </c>
      <c r="J18" s="460">
        <v>0</v>
      </c>
      <c r="K18" s="460">
        <v>0</v>
      </c>
      <c r="L18" s="460">
        <v>0</v>
      </c>
      <c r="M18" s="460">
        <v>103</v>
      </c>
      <c r="N18" s="446">
        <v>48.38</v>
      </c>
      <c r="O18" s="446">
        <v>145</v>
      </c>
      <c r="P18" s="75">
        <f t="shared" si="0"/>
        <v>653.97</v>
      </c>
    </row>
    <row r="19" spans="1:16" ht="15.75" thickBot="1">
      <c r="A19" s="534"/>
      <c r="B19" s="549"/>
      <c r="C19" s="133" t="s">
        <v>147</v>
      </c>
      <c r="D19" s="447">
        <v>0</v>
      </c>
      <c r="E19" s="447">
        <v>94.2</v>
      </c>
      <c r="F19" s="462">
        <v>202.88</v>
      </c>
      <c r="G19" s="441">
        <v>283.52</v>
      </c>
      <c r="H19" s="481">
        <v>358.05</v>
      </c>
      <c r="I19" s="462">
        <v>367.59</v>
      </c>
      <c r="J19" s="462">
        <v>0</v>
      </c>
      <c r="K19" s="462">
        <v>0</v>
      </c>
      <c r="L19" s="462">
        <v>0</v>
      </c>
      <c r="M19" s="462">
        <v>394.87</v>
      </c>
      <c r="N19" s="447">
        <v>182.37</v>
      </c>
      <c r="O19" s="447">
        <v>558.9</v>
      </c>
      <c r="P19" s="134">
        <f t="shared" si="0"/>
        <v>2442.3799999999997</v>
      </c>
    </row>
    <row r="20" spans="1:16">
      <c r="A20" s="535" t="s">
        <v>14</v>
      </c>
      <c r="B20" s="552" t="s">
        <v>125</v>
      </c>
      <c r="C20" s="131" t="s">
        <v>129</v>
      </c>
      <c r="D20" s="445">
        <v>112</v>
      </c>
      <c r="E20" s="445">
        <v>211</v>
      </c>
      <c r="F20" s="445">
        <v>88</v>
      </c>
      <c r="G20" s="477">
        <v>259</v>
      </c>
      <c r="H20" s="477">
        <v>350</v>
      </c>
      <c r="I20" s="477">
        <v>297</v>
      </c>
      <c r="J20" s="470">
        <v>143</v>
      </c>
      <c r="K20" s="470">
        <v>140</v>
      </c>
      <c r="L20" s="461">
        <v>99</v>
      </c>
      <c r="M20" s="461">
        <v>125</v>
      </c>
      <c r="N20" s="461">
        <v>84</v>
      </c>
      <c r="O20" s="413">
        <v>139</v>
      </c>
      <c r="P20" s="135">
        <f>SUM(D20:O20)</f>
        <v>2047</v>
      </c>
    </row>
    <row r="21" spans="1:16">
      <c r="A21" s="554"/>
      <c r="B21" s="553"/>
      <c r="C21" s="132" t="s">
        <v>130</v>
      </c>
      <c r="D21" s="446">
        <v>22</v>
      </c>
      <c r="E21" s="446">
        <v>42</v>
      </c>
      <c r="F21" s="446">
        <v>17</v>
      </c>
      <c r="G21" s="478">
        <v>50</v>
      </c>
      <c r="H21" s="478">
        <v>61.95</v>
      </c>
      <c r="I21" s="478">
        <v>60.92</v>
      </c>
      <c r="J21" s="471">
        <v>0</v>
      </c>
      <c r="K21" s="471">
        <v>66.27</v>
      </c>
      <c r="L21" s="460">
        <v>20</v>
      </c>
      <c r="M21" s="460">
        <v>25</v>
      </c>
      <c r="N21" s="460">
        <v>16.8</v>
      </c>
      <c r="O21" s="412">
        <v>28</v>
      </c>
      <c r="P21" s="75">
        <f t="shared" ref="P21:P28" si="1">SUM(D21:O21)</f>
        <v>409.94</v>
      </c>
    </row>
    <row r="22" spans="1:16" ht="15.75" thickBot="1">
      <c r="A22" s="554"/>
      <c r="B22" s="549"/>
      <c r="C22" s="133" t="s">
        <v>147</v>
      </c>
      <c r="D22" s="447">
        <v>86.9</v>
      </c>
      <c r="E22" s="447">
        <v>165.9</v>
      </c>
      <c r="F22" s="447">
        <v>67.150000000000006</v>
      </c>
      <c r="G22" s="479">
        <v>179.95</v>
      </c>
      <c r="H22" s="479">
        <v>227.36</v>
      </c>
      <c r="I22" s="479">
        <v>214.44</v>
      </c>
      <c r="J22" s="472">
        <v>0</v>
      </c>
      <c r="K22" s="472">
        <v>230.85</v>
      </c>
      <c r="L22" s="462">
        <v>69.8</v>
      </c>
      <c r="M22" s="462">
        <v>87.25</v>
      </c>
      <c r="N22" s="462">
        <v>58.63</v>
      </c>
      <c r="O22" s="414">
        <v>96.32</v>
      </c>
      <c r="P22" s="134">
        <f t="shared" si="1"/>
        <v>1484.55</v>
      </c>
    </row>
    <row r="23" spans="1:16">
      <c r="A23" s="554"/>
      <c r="B23" s="552" t="s">
        <v>126</v>
      </c>
      <c r="C23" s="131" t="s">
        <v>129</v>
      </c>
      <c r="D23" s="73">
        <v>0</v>
      </c>
      <c r="E23" s="73">
        <v>0</v>
      </c>
      <c r="F23" s="73">
        <v>0</v>
      </c>
      <c r="G23" s="439">
        <v>0</v>
      </c>
      <c r="H23" s="439">
        <v>0</v>
      </c>
      <c r="I23" s="439">
        <v>0</v>
      </c>
      <c r="J23" s="329">
        <v>0</v>
      </c>
      <c r="K23" s="329">
        <v>0</v>
      </c>
      <c r="L23" s="329">
        <v>0</v>
      </c>
      <c r="M23" s="329">
        <v>0</v>
      </c>
      <c r="N23" s="329">
        <v>0</v>
      </c>
      <c r="O23" s="413">
        <v>0</v>
      </c>
      <c r="P23" s="135">
        <f t="shared" si="1"/>
        <v>0</v>
      </c>
    </row>
    <row r="24" spans="1:16">
      <c r="A24" s="554"/>
      <c r="B24" s="553"/>
      <c r="C24" s="132" t="s">
        <v>130</v>
      </c>
      <c r="D24" s="74">
        <v>0</v>
      </c>
      <c r="E24" s="74">
        <v>0</v>
      </c>
      <c r="F24" s="74">
        <v>0</v>
      </c>
      <c r="G24" s="440">
        <v>0</v>
      </c>
      <c r="H24" s="440">
        <v>0</v>
      </c>
      <c r="I24" s="440">
        <v>0</v>
      </c>
      <c r="J24" s="328">
        <v>0</v>
      </c>
      <c r="K24" s="328">
        <v>0</v>
      </c>
      <c r="L24" s="328">
        <v>0</v>
      </c>
      <c r="M24" s="328">
        <v>0</v>
      </c>
      <c r="N24" s="328">
        <v>0</v>
      </c>
      <c r="O24" s="412">
        <v>0</v>
      </c>
      <c r="P24" s="75">
        <f t="shared" si="1"/>
        <v>0</v>
      </c>
    </row>
    <row r="25" spans="1:16" ht="15.75" thickBot="1">
      <c r="A25" s="554"/>
      <c r="B25" s="549"/>
      <c r="C25" s="133" t="s">
        <v>147</v>
      </c>
      <c r="D25" s="114">
        <v>0</v>
      </c>
      <c r="E25" s="114">
        <v>0</v>
      </c>
      <c r="F25" s="114">
        <v>0</v>
      </c>
      <c r="G25" s="441">
        <v>0</v>
      </c>
      <c r="H25" s="441">
        <v>0</v>
      </c>
      <c r="I25" s="441">
        <v>0</v>
      </c>
      <c r="J25" s="330">
        <v>0</v>
      </c>
      <c r="K25" s="330">
        <v>0</v>
      </c>
      <c r="L25" s="330">
        <v>0</v>
      </c>
      <c r="M25" s="330">
        <v>0</v>
      </c>
      <c r="N25" s="330">
        <v>0</v>
      </c>
      <c r="O25" s="414">
        <v>0</v>
      </c>
      <c r="P25" s="134">
        <f t="shared" si="1"/>
        <v>0</v>
      </c>
    </row>
    <row r="26" spans="1:16">
      <c r="A26" s="554"/>
      <c r="B26" s="552" t="s">
        <v>127</v>
      </c>
      <c r="C26" s="131" t="s">
        <v>129</v>
      </c>
      <c r="D26" s="445">
        <v>0</v>
      </c>
      <c r="E26" s="445">
        <v>0</v>
      </c>
      <c r="F26" s="445">
        <v>0</v>
      </c>
      <c r="G26" s="439">
        <v>0</v>
      </c>
      <c r="H26" s="439">
        <v>0</v>
      </c>
      <c r="I26" s="439">
        <v>0</v>
      </c>
      <c r="J26" s="461">
        <v>0</v>
      </c>
      <c r="K26" s="461">
        <v>0</v>
      </c>
      <c r="L26" s="461">
        <v>0</v>
      </c>
      <c r="M26" s="461">
        <v>0</v>
      </c>
      <c r="N26" s="461">
        <v>0</v>
      </c>
      <c r="O26" s="461">
        <v>0</v>
      </c>
      <c r="P26" s="135">
        <f t="shared" si="1"/>
        <v>0</v>
      </c>
    </row>
    <row r="27" spans="1:16">
      <c r="A27" s="554"/>
      <c r="B27" s="553"/>
      <c r="C27" s="132" t="s">
        <v>130</v>
      </c>
      <c r="D27" s="446">
        <v>0</v>
      </c>
      <c r="E27" s="446">
        <v>0</v>
      </c>
      <c r="F27" s="446">
        <v>0</v>
      </c>
      <c r="G27" s="440">
        <v>0</v>
      </c>
      <c r="H27" s="440">
        <v>0</v>
      </c>
      <c r="I27" s="440">
        <v>0</v>
      </c>
      <c r="J27" s="460">
        <v>0</v>
      </c>
      <c r="K27" s="460">
        <v>0</v>
      </c>
      <c r="L27" s="460">
        <v>0</v>
      </c>
      <c r="M27" s="460">
        <v>0</v>
      </c>
      <c r="N27" s="460">
        <v>0</v>
      </c>
      <c r="O27" s="460">
        <v>0</v>
      </c>
      <c r="P27" s="75">
        <f t="shared" si="1"/>
        <v>0</v>
      </c>
    </row>
    <row r="28" spans="1:16" ht="15.75" thickBot="1">
      <c r="A28" s="534"/>
      <c r="B28" s="549"/>
      <c r="C28" s="133" t="s">
        <v>147</v>
      </c>
      <c r="D28" s="447">
        <v>0</v>
      </c>
      <c r="E28" s="447">
        <v>0</v>
      </c>
      <c r="F28" s="447">
        <v>0</v>
      </c>
      <c r="G28" s="441">
        <v>0</v>
      </c>
      <c r="H28" s="441">
        <v>0</v>
      </c>
      <c r="I28" s="441">
        <v>0</v>
      </c>
      <c r="J28" s="462">
        <v>0</v>
      </c>
      <c r="K28" s="462">
        <v>0</v>
      </c>
      <c r="L28" s="462">
        <v>0</v>
      </c>
      <c r="M28" s="462">
        <v>0</v>
      </c>
      <c r="N28" s="462">
        <v>0</v>
      </c>
      <c r="O28" s="462">
        <v>0</v>
      </c>
      <c r="P28" s="134">
        <f t="shared" si="1"/>
        <v>0</v>
      </c>
    </row>
    <row r="29" spans="1:16">
      <c r="A29" s="535" t="s">
        <v>15</v>
      </c>
      <c r="B29" s="552" t="s">
        <v>125</v>
      </c>
      <c r="C29" s="131" t="s">
        <v>129</v>
      </c>
      <c r="D29" s="73">
        <v>0</v>
      </c>
      <c r="E29" s="73">
        <v>0</v>
      </c>
      <c r="F29" s="73">
        <v>0</v>
      </c>
      <c r="G29" s="73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  <c r="M29" s="329">
        <v>0</v>
      </c>
      <c r="N29" s="329">
        <v>0</v>
      </c>
      <c r="O29" s="413">
        <v>0</v>
      </c>
      <c r="P29" s="135">
        <f>SUM(D29:O29)</f>
        <v>0</v>
      </c>
    </row>
    <row r="30" spans="1:16">
      <c r="A30" s="554"/>
      <c r="B30" s="553"/>
      <c r="C30" s="132" t="s">
        <v>130</v>
      </c>
      <c r="D30" s="74">
        <v>0</v>
      </c>
      <c r="E30" s="74">
        <v>0</v>
      </c>
      <c r="F30" s="74">
        <v>0</v>
      </c>
      <c r="G30" s="74">
        <v>0</v>
      </c>
      <c r="H30" s="328">
        <v>0</v>
      </c>
      <c r="I30" s="328">
        <v>0</v>
      </c>
      <c r="J30" s="328">
        <v>0</v>
      </c>
      <c r="K30" s="328">
        <v>0</v>
      </c>
      <c r="L30" s="328">
        <v>0</v>
      </c>
      <c r="M30" s="328">
        <v>0</v>
      </c>
      <c r="N30" s="328">
        <v>0</v>
      </c>
      <c r="O30" s="412">
        <v>0</v>
      </c>
      <c r="P30" s="75">
        <f t="shared" ref="P30:P37" si="2">SUM(D30:O30)</f>
        <v>0</v>
      </c>
    </row>
    <row r="31" spans="1:16" ht="15.75" thickBot="1">
      <c r="A31" s="554"/>
      <c r="B31" s="549"/>
      <c r="C31" s="133" t="s">
        <v>147</v>
      </c>
      <c r="D31" s="114">
        <v>0</v>
      </c>
      <c r="E31" s="114">
        <v>0</v>
      </c>
      <c r="F31" s="114">
        <v>0</v>
      </c>
      <c r="G31" s="114">
        <v>0</v>
      </c>
      <c r="H31" s="330">
        <v>0</v>
      </c>
      <c r="I31" s="330">
        <v>0</v>
      </c>
      <c r="J31" s="330">
        <v>0</v>
      </c>
      <c r="K31" s="330">
        <v>0</v>
      </c>
      <c r="L31" s="330">
        <v>0</v>
      </c>
      <c r="M31" s="330">
        <v>0</v>
      </c>
      <c r="N31" s="330">
        <v>0</v>
      </c>
      <c r="O31" s="414">
        <v>0</v>
      </c>
      <c r="P31" s="134">
        <f t="shared" si="2"/>
        <v>0</v>
      </c>
    </row>
    <row r="32" spans="1:16">
      <c r="A32" s="554"/>
      <c r="B32" s="552" t="s">
        <v>126</v>
      </c>
      <c r="C32" s="131" t="s">
        <v>129</v>
      </c>
      <c r="D32" s="73">
        <v>0</v>
      </c>
      <c r="E32" s="73">
        <v>0</v>
      </c>
      <c r="F32" s="73">
        <v>0</v>
      </c>
      <c r="G32" s="73">
        <v>0</v>
      </c>
      <c r="H32" s="329">
        <v>0</v>
      </c>
      <c r="I32" s="329">
        <v>0</v>
      </c>
      <c r="J32" s="329">
        <v>0</v>
      </c>
      <c r="K32" s="329">
        <v>0</v>
      </c>
      <c r="L32" s="329">
        <v>0</v>
      </c>
      <c r="M32" s="329">
        <v>0</v>
      </c>
      <c r="N32" s="329">
        <v>0</v>
      </c>
      <c r="O32" s="413">
        <v>0</v>
      </c>
      <c r="P32" s="135">
        <f t="shared" si="2"/>
        <v>0</v>
      </c>
    </row>
    <row r="33" spans="1:16">
      <c r="A33" s="554"/>
      <c r="B33" s="553"/>
      <c r="C33" s="132" t="s">
        <v>130</v>
      </c>
      <c r="D33" s="74">
        <v>0</v>
      </c>
      <c r="E33" s="74">
        <v>0</v>
      </c>
      <c r="F33" s="74">
        <v>0</v>
      </c>
      <c r="G33" s="74">
        <v>0</v>
      </c>
      <c r="H33" s="328">
        <v>0</v>
      </c>
      <c r="I33" s="328">
        <v>0</v>
      </c>
      <c r="J33" s="328">
        <v>0</v>
      </c>
      <c r="K33" s="328">
        <v>0</v>
      </c>
      <c r="L33" s="328">
        <v>0</v>
      </c>
      <c r="M33" s="328">
        <v>0</v>
      </c>
      <c r="N33" s="328">
        <v>0</v>
      </c>
      <c r="O33" s="412">
        <v>0</v>
      </c>
      <c r="P33" s="75">
        <f t="shared" si="2"/>
        <v>0</v>
      </c>
    </row>
    <row r="34" spans="1:16" ht="15.75" thickBot="1">
      <c r="A34" s="554"/>
      <c r="B34" s="549"/>
      <c r="C34" s="133" t="s">
        <v>147</v>
      </c>
      <c r="D34" s="114">
        <v>0</v>
      </c>
      <c r="E34" s="114">
        <v>0</v>
      </c>
      <c r="F34" s="114">
        <v>0</v>
      </c>
      <c r="G34" s="114">
        <v>0</v>
      </c>
      <c r="H34" s="330">
        <v>0</v>
      </c>
      <c r="I34" s="330">
        <v>0</v>
      </c>
      <c r="J34" s="330">
        <v>0</v>
      </c>
      <c r="K34" s="330">
        <v>0</v>
      </c>
      <c r="L34" s="330">
        <v>0</v>
      </c>
      <c r="M34" s="330">
        <v>0</v>
      </c>
      <c r="N34" s="330">
        <v>0</v>
      </c>
      <c r="O34" s="414">
        <v>0</v>
      </c>
      <c r="P34" s="134">
        <f t="shared" si="2"/>
        <v>0</v>
      </c>
    </row>
    <row r="35" spans="1:16">
      <c r="A35" s="554"/>
      <c r="B35" s="552" t="s">
        <v>127</v>
      </c>
      <c r="C35" s="131" t="s">
        <v>129</v>
      </c>
      <c r="D35" s="470">
        <v>29</v>
      </c>
      <c r="E35" s="470">
        <v>748</v>
      </c>
      <c r="F35" s="470">
        <v>234</v>
      </c>
      <c r="G35" s="470">
        <v>651</v>
      </c>
      <c r="H35" s="470">
        <v>148</v>
      </c>
      <c r="I35" s="470">
        <v>179</v>
      </c>
      <c r="J35" s="470">
        <v>201</v>
      </c>
      <c r="K35" s="470">
        <v>29</v>
      </c>
      <c r="L35" s="488">
        <v>156</v>
      </c>
      <c r="M35" s="488">
        <v>233</v>
      </c>
      <c r="N35" s="488">
        <v>36</v>
      </c>
      <c r="O35" s="409">
        <v>12</v>
      </c>
      <c r="P35" s="135">
        <f t="shared" si="2"/>
        <v>2656</v>
      </c>
    </row>
    <row r="36" spans="1:16">
      <c r="A36" s="554"/>
      <c r="B36" s="553"/>
      <c r="C36" s="132" t="s">
        <v>130</v>
      </c>
      <c r="D36" s="471">
        <v>4</v>
      </c>
      <c r="E36" s="471">
        <v>83.1111111111111</v>
      </c>
      <c r="F36" s="471">
        <v>26</v>
      </c>
      <c r="G36" s="471">
        <v>72.3333333333333</v>
      </c>
      <c r="H36" s="471">
        <v>15</v>
      </c>
      <c r="I36" s="471">
        <v>18</v>
      </c>
      <c r="J36" s="471">
        <v>20</v>
      </c>
      <c r="K36" s="471">
        <v>2</v>
      </c>
      <c r="L36" s="489">
        <v>15</v>
      </c>
      <c r="M36" s="489">
        <v>23</v>
      </c>
      <c r="N36" s="489">
        <v>36</v>
      </c>
      <c r="O36" s="410">
        <v>2</v>
      </c>
      <c r="P36" s="75">
        <f t="shared" si="2"/>
        <v>316.4444444444444</v>
      </c>
    </row>
    <row r="37" spans="1:16" ht="15.75" thickBot="1">
      <c r="A37" s="534"/>
      <c r="B37" s="549"/>
      <c r="C37" s="133" t="s">
        <v>147</v>
      </c>
      <c r="D37" s="472">
        <v>14.26</v>
      </c>
      <c r="E37" s="472">
        <v>302.52444444444399</v>
      </c>
      <c r="F37" s="472">
        <v>94.64</v>
      </c>
      <c r="G37" s="472">
        <v>263.29333333333301</v>
      </c>
      <c r="H37" s="472">
        <v>55.05</v>
      </c>
      <c r="I37" s="472">
        <v>66.06</v>
      </c>
      <c r="J37" s="472">
        <v>73.400000000000006</v>
      </c>
      <c r="K37" s="472">
        <v>7.34</v>
      </c>
      <c r="L37" s="490">
        <v>71.25</v>
      </c>
      <c r="M37" s="490">
        <v>109.25</v>
      </c>
      <c r="N37" s="490">
        <v>171</v>
      </c>
      <c r="O37" s="411">
        <v>0</v>
      </c>
      <c r="P37" s="134">
        <f t="shared" si="2"/>
        <v>1228.0677777777769</v>
      </c>
    </row>
    <row r="38" spans="1:16">
      <c r="D38" s="365">
        <f t="shared" ref="D38:P38" si="3">D12+D21+D30</f>
        <v>167.74</v>
      </c>
      <c r="E38" s="365">
        <f t="shared" si="3"/>
        <v>204</v>
      </c>
      <c r="F38" s="365">
        <f t="shared" si="3"/>
        <v>140</v>
      </c>
      <c r="G38" s="365">
        <f t="shared" si="3"/>
        <v>374</v>
      </c>
      <c r="H38" s="365">
        <f t="shared" si="3"/>
        <v>360.90999999999997</v>
      </c>
      <c r="I38" s="365">
        <f t="shared" si="3"/>
        <v>241.97000000000003</v>
      </c>
      <c r="J38" s="365">
        <f t="shared" si="3"/>
        <v>121.74</v>
      </c>
      <c r="K38" s="365">
        <f t="shared" si="3"/>
        <v>267.87</v>
      </c>
      <c r="L38" s="365">
        <f t="shared" si="3"/>
        <v>279</v>
      </c>
      <c r="M38" s="365">
        <f t="shared" si="3"/>
        <v>281</v>
      </c>
      <c r="N38" s="365">
        <f t="shared" si="3"/>
        <v>230.8</v>
      </c>
      <c r="O38" s="365">
        <f t="shared" si="3"/>
        <v>168.23</v>
      </c>
      <c r="P38" s="365">
        <f t="shared" si="3"/>
        <v>2837.26</v>
      </c>
    </row>
    <row r="39" spans="1:16">
      <c r="D39" s="365">
        <f>D15+D24+D33</f>
        <v>0</v>
      </c>
      <c r="E39" s="365">
        <f t="shared" ref="E39:P39" si="4">E15+E24+E33</f>
        <v>0</v>
      </c>
      <c r="F39" s="365">
        <f t="shared" si="4"/>
        <v>0</v>
      </c>
      <c r="G39" s="365">
        <f>G15+G24+G33</f>
        <v>0</v>
      </c>
      <c r="H39" s="365">
        <f t="shared" si="4"/>
        <v>0</v>
      </c>
      <c r="I39" s="365">
        <f t="shared" si="4"/>
        <v>0</v>
      </c>
      <c r="J39" s="365">
        <f>J15+J24+J33</f>
        <v>0</v>
      </c>
      <c r="K39" s="365">
        <f t="shared" si="4"/>
        <v>0</v>
      </c>
      <c r="L39" s="365">
        <f t="shared" si="4"/>
        <v>0</v>
      </c>
      <c r="M39" s="365">
        <f>M15+M24+M33</f>
        <v>0</v>
      </c>
      <c r="N39" s="365">
        <f t="shared" si="4"/>
        <v>0</v>
      </c>
      <c r="O39" s="365">
        <f>O15+O24+O33</f>
        <v>0</v>
      </c>
      <c r="P39" s="365">
        <f t="shared" si="4"/>
        <v>0</v>
      </c>
    </row>
    <row r="40" spans="1:16">
      <c r="A40" s="31" t="s">
        <v>1</v>
      </c>
      <c r="D40" s="365">
        <f>D18+D27+D36</f>
        <v>4</v>
      </c>
      <c r="E40" s="365">
        <f t="shared" ref="E40:P40" si="5">E18+E27+E36</f>
        <v>110.0311111111111</v>
      </c>
      <c r="F40" s="365">
        <f>F18+F27+F36</f>
        <v>84.259999999999991</v>
      </c>
      <c r="G40" s="365">
        <f>G18+G27+G36</f>
        <v>153.33333333333331</v>
      </c>
      <c r="H40" s="365">
        <f t="shared" si="5"/>
        <v>106.16</v>
      </c>
      <c r="I40" s="365">
        <f t="shared" si="5"/>
        <v>118.25</v>
      </c>
      <c r="J40" s="365">
        <f>J18+J27+J36</f>
        <v>20</v>
      </c>
      <c r="K40" s="365">
        <f t="shared" si="5"/>
        <v>2</v>
      </c>
      <c r="L40" s="365">
        <f>L18+L27+L36</f>
        <v>15</v>
      </c>
      <c r="M40" s="365">
        <f>M18+M27+M36</f>
        <v>126</v>
      </c>
      <c r="N40" s="365">
        <f t="shared" si="5"/>
        <v>84.38</v>
      </c>
      <c r="O40" s="365">
        <f>O18+O27+O36</f>
        <v>147</v>
      </c>
      <c r="P40" s="365">
        <f t="shared" si="5"/>
        <v>970.41444444444437</v>
      </c>
    </row>
    <row r="41" spans="1:16">
      <c r="A41" s="31" t="s">
        <v>131</v>
      </c>
      <c r="D41" s="365">
        <f>D11+D14+D17+D20+D23+D26+D29+D32+D35</f>
        <v>2035</v>
      </c>
      <c r="E41" s="365">
        <f t="shared" ref="E41:P41" si="6">E11+E14+E17+E20+E23+E26+E29+E32+E35</f>
        <v>2776</v>
      </c>
      <c r="F41" s="365">
        <f>F11+F14+F17+F20+F23+F26+F29+F32+F35</f>
        <v>2376</v>
      </c>
      <c r="G41" s="365">
        <f>G11+G14+G17+G20+G23+G26+G29+G32+G35</f>
        <v>4598</v>
      </c>
      <c r="H41" s="365">
        <f>H11+H14+H17+H20+H23+H26+H29+H32+H35</f>
        <v>3359</v>
      </c>
      <c r="I41" s="365">
        <f t="shared" si="6"/>
        <v>3445</v>
      </c>
      <c r="J41" s="365">
        <f>J11+J14+J17+J20+J23+J26+J29+J32+J35</f>
        <v>1861</v>
      </c>
      <c r="K41" s="365">
        <f t="shared" si="6"/>
        <v>2370</v>
      </c>
      <c r="L41" s="365">
        <f t="shared" si="6"/>
        <v>2331</v>
      </c>
      <c r="M41" s="365">
        <f>M11+M14+M17+M20+M23+M26+M29+M32+M35</f>
        <v>3078</v>
      </c>
      <c r="N41" s="365">
        <f t="shared" si="6"/>
        <v>2010</v>
      </c>
      <c r="O41" s="365">
        <f>O11+O14+O17+O20+O23+O26+O29+O32+O35</f>
        <v>1750</v>
      </c>
      <c r="P41" s="365">
        <f t="shared" si="6"/>
        <v>31989</v>
      </c>
    </row>
    <row r="42" spans="1:16" ht="15.75" thickBot="1">
      <c r="A42" s="31" t="s">
        <v>132</v>
      </c>
    </row>
    <row r="43" spans="1:16" ht="33.75" customHeight="1">
      <c r="A43" s="536" t="s">
        <v>4</v>
      </c>
      <c r="B43" s="555" t="s">
        <v>299</v>
      </c>
      <c r="C43" s="565"/>
      <c r="D43" s="565"/>
      <c r="E43" s="556"/>
    </row>
    <row r="44" spans="1:16" ht="15.75" thickBot="1">
      <c r="A44" s="551"/>
      <c r="B44" s="563" t="s">
        <v>136</v>
      </c>
      <c r="C44" s="564"/>
      <c r="D44" s="564"/>
      <c r="E44" s="36" t="s">
        <v>151</v>
      </c>
    </row>
    <row r="45" spans="1:16" ht="32.25" customHeight="1">
      <c r="A45" s="557" t="s">
        <v>6</v>
      </c>
      <c r="B45" s="560" t="s">
        <v>137</v>
      </c>
      <c r="C45" s="561"/>
      <c r="D45" s="561"/>
      <c r="E45" s="138"/>
    </row>
    <row r="46" spans="1:16" ht="33.75" customHeight="1" thickBot="1">
      <c r="A46" s="558"/>
      <c r="B46" s="528" t="s">
        <v>138</v>
      </c>
      <c r="C46" s="562"/>
      <c r="D46" s="562"/>
      <c r="E46" s="139"/>
      <c r="I46" s="1">
        <f>33941-31395</f>
        <v>2546</v>
      </c>
      <c r="J46" s="141">
        <f>36810-31989</f>
        <v>4821</v>
      </c>
    </row>
    <row r="47" spans="1:16" ht="30.75" customHeight="1">
      <c r="A47" s="557" t="s">
        <v>14</v>
      </c>
      <c r="B47" s="560" t="s">
        <v>137</v>
      </c>
      <c r="C47" s="561"/>
      <c r="D47" s="561"/>
      <c r="E47" s="138"/>
      <c r="I47" s="507">
        <f>I46/33941</f>
        <v>7.5012521728882467E-2</v>
      </c>
      <c r="J47" s="507">
        <f>J46/36810</f>
        <v>0.13096984515077426</v>
      </c>
    </row>
    <row r="48" spans="1:16" ht="33.75" customHeight="1" thickBot="1">
      <c r="A48" s="558"/>
      <c r="B48" s="528" t="s">
        <v>138</v>
      </c>
      <c r="C48" s="562"/>
      <c r="D48" s="562"/>
      <c r="E48" s="139"/>
    </row>
    <row r="49" spans="1:5" ht="30.75" customHeight="1">
      <c r="A49" s="557" t="s">
        <v>15</v>
      </c>
      <c r="B49" s="560" t="s">
        <v>137</v>
      </c>
      <c r="C49" s="561"/>
      <c r="D49" s="561"/>
      <c r="E49" s="138"/>
    </row>
    <row r="50" spans="1:5" ht="35.25" customHeight="1" thickBot="1">
      <c r="A50" s="559"/>
      <c r="B50" s="549" t="s">
        <v>138</v>
      </c>
      <c r="C50" s="550"/>
      <c r="D50" s="550"/>
      <c r="E50" s="140"/>
    </row>
    <row r="53" spans="1:5">
      <c r="A53" s="31" t="s">
        <v>1</v>
      </c>
    </row>
    <row r="54" spans="1:5" ht="15.75" thickBot="1">
      <c r="A54" s="31" t="s">
        <v>133</v>
      </c>
    </row>
    <row r="55" spans="1:5" ht="33.75" customHeight="1">
      <c r="A55" s="536" t="s">
        <v>4</v>
      </c>
      <c r="B55" s="555" t="s">
        <v>299</v>
      </c>
      <c r="C55" s="556"/>
    </row>
    <row r="56" spans="1:5" ht="33.75" customHeight="1" thickBot="1">
      <c r="A56" s="551"/>
      <c r="B56" s="136" t="s">
        <v>135</v>
      </c>
      <c r="C56" s="80" t="s">
        <v>152</v>
      </c>
    </row>
    <row r="57" spans="1:5" ht="15.75" thickBot="1">
      <c r="A57" s="355" t="s">
        <v>6</v>
      </c>
      <c r="B57" s="137"/>
      <c r="C57" s="81"/>
    </row>
    <row r="58" spans="1:5" ht="15.75" thickBot="1">
      <c r="A58" s="355" t="s">
        <v>14</v>
      </c>
      <c r="B58" s="137"/>
      <c r="C58" s="81"/>
    </row>
    <row r="59" spans="1:5">
      <c r="A59" s="355" t="s">
        <v>15</v>
      </c>
      <c r="B59" s="137"/>
      <c r="C59" s="81"/>
    </row>
  </sheetData>
  <protectedRanges>
    <protectedRange sqref="E45:E50 B57:C59 G14:J16 K17:K19 G20:K22 O20:O22 D23:O37" name="Intervalo1" securityDescriptor="O:WDG:WDD:(A;;CC;;;WD)"/>
    <protectedRange sqref="H11:H13" name="Intervalo1_2" securityDescriptor="O:WDG:WDD:(A;;CC;;;WD)"/>
    <protectedRange sqref="H17:H19" name="Intervalo1_3" securityDescriptor="O:WDG:WDD:(A;;CC;;;WD)"/>
    <protectedRange sqref="I11:J13" name="Intervalo1_4" securityDescriptor="O:WDG:WDD:(A;;CC;;;WD)"/>
    <protectedRange sqref="I17:J19" name="Intervalo1_5" securityDescriptor="O:WDG:WDD:(A;;CC;;;WD)"/>
    <protectedRange sqref="K11:K19" name="Intervalo1_6" securityDescriptor="O:WDG:WDD:(A;;CC;;;WD)"/>
    <protectedRange sqref="F14:F16" name="Intervalo1_7" securityDescriptor="O:WDG:WDD:(A;;CC;;;WD)"/>
    <protectedRange sqref="D14:E16" name="Intervalo1_1_1" securityDescriptor="O:WDG:WDD:(A;;CC;;;WD)"/>
    <protectedRange sqref="G11:G13" name="Intervalo1_2_2" securityDescriptor="O:WDG:WDD:(A;;CC;;;WD)"/>
    <protectedRange sqref="D11:F13" name="Intervalo1_2_1_1" securityDescriptor="O:WDG:WDD:(A;;CC;;;WD)"/>
    <protectedRange sqref="G17:G19" name="Intervalo1_3_2" securityDescriptor="O:WDG:WDD:(A;;CC;;;WD)"/>
    <protectedRange sqref="D17:F19" name="Intervalo1_3_1_1" securityDescriptor="O:WDG:WDD:(A;;CC;;;WD)"/>
    <protectedRange sqref="D20:F22" name="Intervalo1_1" securityDescriptor="O:WDG:WDD:(A;;CC;;;WD)"/>
    <protectedRange sqref="L20:N22" name="Intervalo1_8" securityDescriptor="O:WDG:WDD:(A;;CC;;;WD)"/>
    <protectedRange sqref="L17:O19 N11:O16" name="Intervalo1_9" securityDescriptor="O:WDG:WDD:(A;;CC;;;WD)"/>
    <protectedRange sqref="L11:M19" name="Intervalo1_6_1" securityDescriptor="O:WDG:WDD:(A;;CC;;;WD)"/>
  </protectedRanges>
  <customSheetViews>
    <customSheetView guid="{DFED14A5-FC7F-4CB0-A970-C00E731629C6}" scale="85" topLeftCell="A28">
      <selection activeCell="C12" sqref="C12"/>
      <pageMargins left="0.511811024" right="0.511811024" top="0.78740157499999996" bottom="0.78740157499999996" header="0.31496062000000002" footer="0.31496062000000002"/>
    </customSheetView>
  </customSheetViews>
  <mergeCells count="29">
    <mergeCell ref="B1:I2"/>
    <mergeCell ref="B3:I4"/>
    <mergeCell ref="B47:D47"/>
    <mergeCell ref="B48:D48"/>
    <mergeCell ref="B49:D49"/>
    <mergeCell ref="B26:B28"/>
    <mergeCell ref="B29:B31"/>
    <mergeCell ref="B32:B34"/>
    <mergeCell ref="B45:D45"/>
    <mergeCell ref="B46:D46"/>
    <mergeCell ref="B23:B25"/>
    <mergeCell ref="B44:D44"/>
    <mergeCell ref="B35:B37"/>
    <mergeCell ref="B43:E43"/>
    <mergeCell ref="B50:D50"/>
    <mergeCell ref="A55:A56"/>
    <mergeCell ref="B10:C10"/>
    <mergeCell ref="B11:B13"/>
    <mergeCell ref="B14:B16"/>
    <mergeCell ref="B17:B19"/>
    <mergeCell ref="B20:B22"/>
    <mergeCell ref="A11:A19"/>
    <mergeCell ref="B55:C55"/>
    <mergeCell ref="A47:A48"/>
    <mergeCell ref="A49:A50"/>
    <mergeCell ref="A20:A28"/>
    <mergeCell ref="A45:A46"/>
    <mergeCell ref="A43:A44"/>
    <mergeCell ref="A29:A37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4"/>
  <sheetViews>
    <sheetView zoomScale="85" zoomScaleNormal="85" workbookViewId="0">
      <selection activeCell="B11" sqref="B11:B13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511" t="s">
        <v>0</v>
      </c>
      <c r="C1" s="511"/>
      <c r="D1" s="511"/>
      <c r="E1" s="511"/>
      <c r="F1" s="51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511"/>
      <c r="C2" s="511"/>
      <c r="D2" s="511"/>
      <c r="E2" s="511"/>
      <c r="F2" s="51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48" t="s">
        <v>139</v>
      </c>
      <c r="C3" s="548"/>
      <c r="D3" s="548"/>
      <c r="E3" s="548"/>
      <c r="F3" s="548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48"/>
      <c r="C4" s="548"/>
      <c r="D4" s="548"/>
      <c r="E4" s="548"/>
      <c r="F4" s="548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>
      <c r="B5" s="82"/>
      <c r="C5" s="82"/>
      <c r="D5" s="82"/>
      <c r="E5" s="82"/>
      <c r="F5" s="82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7" spans="1:21">
      <c r="A7" s="31" t="s">
        <v>1</v>
      </c>
    </row>
    <row r="8" spans="1:21" ht="15.75" thickBot="1">
      <c r="A8" s="31" t="s">
        <v>140</v>
      </c>
    </row>
    <row r="9" spans="1:21" ht="15" customHeight="1" thickBot="1">
      <c r="A9" s="514" t="s">
        <v>4</v>
      </c>
      <c r="B9" s="78" t="s">
        <v>299</v>
      </c>
    </row>
    <row r="10" spans="1:21" ht="30.75" thickBot="1">
      <c r="A10" s="515"/>
      <c r="B10" s="77" t="s">
        <v>141</v>
      </c>
    </row>
    <row r="11" spans="1:21">
      <c r="A11" s="4" t="s">
        <v>6</v>
      </c>
      <c r="B11" s="83">
        <v>11</v>
      </c>
    </row>
    <row r="12" spans="1:21">
      <c r="A12" s="5" t="s">
        <v>14</v>
      </c>
      <c r="B12" s="84"/>
    </row>
    <row r="13" spans="1:21" ht="15.75" thickBot="1">
      <c r="A13" s="6" t="s">
        <v>15</v>
      </c>
      <c r="B13" s="85"/>
    </row>
    <row r="14" spans="1:21" ht="15.75" thickBot="1">
      <c r="A14" s="38" t="s">
        <v>47</v>
      </c>
      <c r="B14" s="41">
        <f>B11+B12+B13</f>
        <v>11</v>
      </c>
    </row>
  </sheetData>
  <protectedRanges>
    <protectedRange sqref="B11:B13" name="Intervalo1" securityDescriptor="O:WDG:WDD:(A;;CC;;;WD)"/>
  </protectedRanges>
  <customSheetViews>
    <customSheetView guid="{DFED14A5-FC7F-4CB0-A970-C00E731629C6}" scale="85">
      <selection activeCell="B11" sqref="B11"/>
      <pageMargins left="0.511811024" right="0.511811024" top="0.78740157499999996" bottom="0.78740157499999996" header="0.31496062000000002" footer="0.31496062000000002"/>
    </customSheetView>
  </customSheetViews>
  <mergeCells count="3">
    <mergeCell ref="A9:A10"/>
    <mergeCell ref="B1:F2"/>
    <mergeCell ref="B3:F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5"/>
  <sheetViews>
    <sheetView topLeftCell="A211" workbookViewId="0">
      <selection activeCell="I226" sqref="I226"/>
    </sheetView>
  </sheetViews>
  <sheetFormatPr defaultColWidth="9.140625" defaultRowHeight="15"/>
  <cols>
    <col min="1" max="1" width="26.7109375" style="165" customWidth="1"/>
    <col min="2" max="2" width="36.7109375" style="165" customWidth="1"/>
    <col min="3" max="15" width="15.7109375" style="164" customWidth="1"/>
    <col min="16" max="16384" width="9.140625" style="164"/>
  </cols>
  <sheetData>
    <row r="1" spans="1:21" s="141" customFormat="1" ht="23.25"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142"/>
      <c r="N1" s="142"/>
      <c r="O1" s="142"/>
      <c r="P1" s="142"/>
      <c r="Q1" s="142"/>
      <c r="R1" s="142"/>
      <c r="S1" s="142"/>
      <c r="T1" s="142"/>
      <c r="U1" s="142"/>
    </row>
    <row r="2" spans="1:21" s="141" customFormat="1" ht="23.25"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142"/>
      <c r="N2" s="142"/>
      <c r="O2" s="142"/>
      <c r="P2" s="142"/>
      <c r="Q2" s="142"/>
      <c r="R2" s="142"/>
      <c r="S2" s="142"/>
      <c r="T2" s="142"/>
      <c r="U2" s="142"/>
    </row>
    <row r="3" spans="1:21" s="141" customFormat="1">
      <c r="B3" s="548" t="s">
        <v>276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144"/>
      <c r="N3" s="144"/>
      <c r="O3" s="144"/>
      <c r="P3" s="144"/>
      <c r="Q3" s="144"/>
      <c r="R3" s="144"/>
      <c r="S3" s="144"/>
      <c r="T3" s="144"/>
      <c r="U3" s="144"/>
    </row>
    <row r="4" spans="1:21" s="141" customFormat="1"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144"/>
      <c r="N4" s="144"/>
      <c r="O4" s="144"/>
      <c r="P4" s="144"/>
      <c r="Q4" s="144"/>
      <c r="R4" s="144"/>
      <c r="S4" s="144"/>
      <c r="T4" s="144"/>
      <c r="U4" s="144"/>
    </row>
    <row r="5" spans="1:21" s="141" customFormat="1"/>
    <row r="6" spans="1:21" ht="15.75" thickBot="1"/>
    <row r="7" spans="1:21" ht="15.75" thickBot="1">
      <c r="A7" s="184" t="s">
        <v>253</v>
      </c>
      <c r="B7" s="599" t="s">
        <v>254</v>
      </c>
      <c r="C7" s="600"/>
      <c r="D7" s="370">
        <v>43101</v>
      </c>
      <c r="E7" s="370">
        <v>43132</v>
      </c>
      <c r="F7" s="370">
        <v>43160</v>
      </c>
      <c r="G7" s="370">
        <v>43191</v>
      </c>
      <c r="H7" s="370">
        <v>43221</v>
      </c>
      <c r="I7" s="370">
        <v>43252</v>
      </c>
      <c r="J7" s="370">
        <v>43282</v>
      </c>
      <c r="K7" s="370">
        <v>43313</v>
      </c>
      <c r="L7" s="370">
        <v>43344</v>
      </c>
      <c r="M7" s="370">
        <v>43374</v>
      </c>
      <c r="N7" s="370">
        <v>43405</v>
      </c>
      <c r="O7" s="370">
        <v>43435</v>
      </c>
    </row>
    <row r="8" spans="1:21">
      <c r="A8" s="566" t="s">
        <v>2</v>
      </c>
      <c r="B8" s="573" t="s">
        <v>222</v>
      </c>
      <c r="C8" s="574"/>
      <c r="D8" s="182">
        <f>Papel!B26</f>
        <v>65</v>
      </c>
      <c r="E8" s="182">
        <f>Papel!D26</f>
        <v>55</v>
      </c>
      <c r="F8" s="182">
        <f>Papel!F26</f>
        <v>84</v>
      </c>
      <c r="G8" s="182">
        <f>Papel!H26</f>
        <v>20</v>
      </c>
      <c r="H8" s="182">
        <f>Papel!J26</f>
        <v>39</v>
      </c>
      <c r="I8" s="182">
        <f>Papel!L26</f>
        <v>11</v>
      </c>
      <c r="J8" s="182">
        <f>Papel!N26</f>
        <v>19</v>
      </c>
      <c r="K8" s="182">
        <f>Papel!P26</f>
        <v>26</v>
      </c>
      <c r="L8" s="182">
        <f>Papel!R26</f>
        <v>18</v>
      </c>
      <c r="M8" s="182">
        <f>Papel!T26</f>
        <v>29</v>
      </c>
      <c r="N8" s="182">
        <f>Papel!V26</f>
        <v>29</v>
      </c>
      <c r="O8" s="183">
        <f>Papel!X26</f>
        <v>19</v>
      </c>
    </row>
    <row r="9" spans="1:21" s="141" customFormat="1">
      <c r="A9" s="567"/>
      <c r="B9" s="575" t="s">
        <v>6</v>
      </c>
      <c r="C9" s="576"/>
      <c r="D9" s="167">
        <f>Papel!B11</f>
        <v>7</v>
      </c>
      <c r="E9" s="167">
        <f>Papel!D11</f>
        <v>1</v>
      </c>
      <c r="F9" s="167">
        <f>Papel!F11</f>
        <v>5</v>
      </c>
      <c r="G9" s="167">
        <f>Papel!H11</f>
        <v>7</v>
      </c>
      <c r="H9" s="167">
        <f>Papel!J11</f>
        <v>25</v>
      </c>
      <c r="I9" s="167">
        <f>Papel!L11</f>
        <v>3</v>
      </c>
      <c r="J9" s="167">
        <f>Papel!N11</f>
        <v>9</v>
      </c>
      <c r="K9" s="167">
        <f>Papel!P11</f>
        <v>16</v>
      </c>
      <c r="L9" s="167">
        <f>Papel!R11</f>
        <v>9</v>
      </c>
      <c r="M9" s="167">
        <f>Papel!T11</f>
        <v>5</v>
      </c>
      <c r="N9" s="167">
        <f>Papel!V11</f>
        <v>4</v>
      </c>
      <c r="O9" s="172">
        <f>Papel!X11</f>
        <v>2</v>
      </c>
    </row>
    <row r="10" spans="1:21" s="141" customFormat="1">
      <c r="A10" s="567"/>
      <c r="B10" s="577" t="s">
        <v>7</v>
      </c>
      <c r="C10" s="578"/>
      <c r="D10" s="166">
        <f>Papel!B12</f>
        <v>0</v>
      </c>
      <c r="E10" s="166">
        <f>Papel!D12</f>
        <v>0</v>
      </c>
      <c r="F10" s="166">
        <f>Papel!F12</f>
        <v>0</v>
      </c>
      <c r="G10" s="166">
        <f>Papel!H12</f>
        <v>0</v>
      </c>
      <c r="H10" s="166">
        <f>Papel!J12</f>
        <v>0</v>
      </c>
      <c r="I10" s="166">
        <f>Papel!L12</f>
        <v>0</v>
      </c>
      <c r="J10" s="166">
        <f>Papel!N12</f>
        <v>0</v>
      </c>
      <c r="K10" s="166">
        <f>Papel!P12</f>
        <v>0</v>
      </c>
      <c r="L10" s="166">
        <f>Papel!R12</f>
        <v>0</v>
      </c>
      <c r="M10" s="166">
        <f>Papel!T12</f>
        <v>0</v>
      </c>
      <c r="N10" s="166">
        <f>Papel!V12</f>
        <v>0</v>
      </c>
      <c r="O10" s="180">
        <f>Papel!X12</f>
        <v>0</v>
      </c>
    </row>
    <row r="11" spans="1:21" s="141" customFormat="1">
      <c r="A11" s="567"/>
      <c r="B11" s="577" t="s">
        <v>8</v>
      </c>
      <c r="C11" s="578"/>
      <c r="D11" s="166">
        <f>Papel!B13</f>
        <v>2</v>
      </c>
      <c r="E11" s="166">
        <f>Papel!D13</f>
        <v>1</v>
      </c>
      <c r="F11" s="166">
        <f>Papel!F13</f>
        <v>0</v>
      </c>
      <c r="G11" s="166">
        <f>Papel!H13</f>
        <v>0</v>
      </c>
      <c r="H11" s="166">
        <f>Papel!J13</f>
        <v>10</v>
      </c>
      <c r="I11" s="166">
        <f>Papel!L13</f>
        <v>3</v>
      </c>
      <c r="J11" s="166">
        <f>Papel!N13</f>
        <v>0</v>
      </c>
      <c r="K11" s="166">
        <f>Papel!P13</f>
        <v>1</v>
      </c>
      <c r="L11" s="166">
        <f>Papel!R13</f>
        <v>5</v>
      </c>
      <c r="M11" s="166">
        <f>Papel!T13</f>
        <v>1</v>
      </c>
      <c r="N11" s="166">
        <f>Papel!V13</f>
        <v>1</v>
      </c>
      <c r="O11" s="180">
        <f>Papel!X13</f>
        <v>0</v>
      </c>
    </row>
    <row r="12" spans="1:21" s="141" customFormat="1">
      <c r="A12" s="567"/>
      <c r="B12" s="577" t="s">
        <v>9</v>
      </c>
      <c r="C12" s="578"/>
      <c r="D12" s="166">
        <f>Papel!B14</f>
        <v>0</v>
      </c>
      <c r="E12" s="166">
        <f>Papel!D14</f>
        <v>0</v>
      </c>
      <c r="F12" s="166">
        <f>Papel!F14</f>
        <v>0</v>
      </c>
      <c r="G12" s="166">
        <f>Papel!H14</f>
        <v>5</v>
      </c>
      <c r="H12" s="166">
        <f>Papel!J14</f>
        <v>0</v>
      </c>
      <c r="I12" s="166">
        <f>Papel!L14</f>
        <v>0</v>
      </c>
      <c r="J12" s="166">
        <f>Papel!N14</f>
        <v>0</v>
      </c>
      <c r="K12" s="166">
        <f>Papel!P14</f>
        <v>0</v>
      </c>
      <c r="L12" s="166">
        <f>Papel!R14</f>
        <v>0</v>
      </c>
      <c r="M12" s="166">
        <f>Papel!T14</f>
        <v>0</v>
      </c>
      <c r="N12" s="166">
        <f>Papel!V14</f>
        <v>0</v>
      </c>
      <c r="O12" s="180">
        <f>Papel!X14</f>
        <v>0</v>
      </c>
    </row>
    <row r="13" spans="1:21" s="141" customFormat="1">
      <c r="A13" s="567"/>
      <c r="B13" s="577" t="s">
        <v>10</v>
      </c>
      <c r="C13" s="578"/>
      <c r="D13" s="166">
        <f>Papel!B15</f>
        <v>0</v>
      </c>
      <c r="E13" s="166">
        <f>Papel!D15</f>
        <v>0</v>
      </c>
      <c r="F13" s="166">
        <f>Papel!F15</f>
        <v>0</v>
      </c>
      <c r="G13" s="166">
        <f>Papel!H15</f>
        <v>0</v>
      </c>
      <c r="H13" s="166">
        <f>Papel!J15</f>
        <v>4</v>
      </c>
      <c r="I13" s="166">
        <f>Papel!L15</f>
        <v>0</v>
      </c>
      <c r="J13" s="166">
        <f>Papel!N15</f>
        <v>0</v>
      </c>
      <c r="K13" s="166">
        <f>Papel!P15</f>
        <v>4</v>
      </c>
      <c r="L13" s="166">
        <f>Papel!R15</f>
        <v>0</v>
      </c>
      <c r="M13" s="166">
        <f>Papel!T15</f>
        <v>0</v>
      </c>
      <c r="N13" s="166">
        <f>Papel!V15</f>
        <v>0</v>
      </c>
      <c r="O13" s="180">
        <f>Papel!X15</f>
        <v>0</v>
      </c>
    </row>
    <row r="14" spans="1:21" s="141" customFormat="1">
      <c r="A14" s="567"/>
      <c r="B14" s="577" t="s">
        <v>11</v>
      </c>
      <c r="C14" s="578"/>
      <c r="D14" s="166">
        <f>Papel!B16</f>
        <v>0</v>
      </c>
      <c r="E14" s="166">
        <f>Papel!D16</f>
        <v>0</v>
      </c>
      <c r="F14" s="166">
        <f>Papel!F16</f>
        <v>0</v>
      </c>
      <c r="G14" s="166">
        <f>Papel!H16</f>
        <v>0</v>
      </c>
      <c r="H14" s="166">
        <f>Papel!J16</f>
        <v>0</v>
      </c>
      <c r="I14" s="166">
        <f>Papel!L16</f>
        <v>0</v>
      </c>
      <c r="J14" s="166">
        <f>Papel!N16</f>
        <v>0</v>
      </c>
      <c r="K14" s="166">
        <f>Papel!P16</f>
        <v>0</v>
      </c>
      <c r="L14" s="166">
        <f>Papel!R16</f>
        <v>0</v>
      </c>
      <c r="M14" s="166">
        <f>Papel!T16</f>
        <v>0</v>
      </c>
      <c r="N14" s="166">
        <f>Papel!V16</f>
        <v>0</v>
      </c>
      <c r="O14" s="180">
        <f>Papel!X16</f>
        <v>0</v>
      </c>
    </row>
    <row r="15" spans="1:21" s="141" customFormat="1">
      <c r="A15" s="567"/>
      <c r="B15" s="577" t="s">
        <v>12</v>
      </c>
      <c r="C15" s="578"/>
      <c r="D15" s="166">
        <f>Papel!B17</f>
        <v>0</v>
      </c>
      <c r="E15" s="166">
        <f>Papel!D17</f>
        <v>0</v>
      </c>
      <c r="F15" s="166">
        <f>Papel!F17</f>
        <v>0</v>
      </c>
      <c r="G15" s="166">
        <f>Papel!H17</f>
        <v>0</v>
      </c>
      <c r="H15" s="166">
        <f>Papel!J17</f>
        <v>0</v>
      </c>
      <c r="I15" s="166">
        <f>Papel!L17</f>
        <v>0</v>
      </c>
      <c r="J15" s="166">
        <f>Papel!N17</f>
        <v>0</v>
      </c>
      <c r="K15" s="166">
        <f>Papel!P17</f>
        <v>0</v>
      </c>
      <c r="L15" s="166">
        <f>Papel!R17</f>
        <v>0</v>
      </c>
      <c r="M15" s="166">
        <f>Papel!T17</f>
        <v>0</v>
      </c>
      <c r="N15" s="166">
        <f>Papel!V17</f>
        <v>0</v>
      </c>
      <c r="O15" s="180">
        <f>Papel!X17</f>
        <v>0</v>
      </c>
    </row>
    <row r="16" spans="1:21" s="141" customFormat="1">
      <c r="A16" s="567"/>
      <c r="B16" s="577" t="s">
        <v>13</v>
      </c>
      <c r="C16" s="578"/>
      <c r="D16" s="166">
        <f>Papel!B19</f>
        <v>0</v>
      </c>
      <c r="E16" s="166">
        <f>Papel!D19</f>
        <v>0</v>
      </c>
      <c r="F16" s="166">
        <f>Papel!F19</f>
        <v>0</v>
      </c>
      <c r="G16" s="166">
        <f>Papel!H19</f>
        <v>2</v>
      </c>
      <c r="H16" s="166">
        <f>Papel!J19</f>
        <v>6</v>
      </c>
      <c r="I16" s="166">
        <f>Papel!L19</f>
        <v>0</v>
      </c>
      <c r="J16" s="166">
        <f>Papel!N19</f>
        <v>4</v>
      </c>
      <c r="K16" s="166">
        <f>Papel!P19</f>
        <v>6</v>
      </c>
      <c r="L16" s="166">
        <f>Papel!R19</f>
        <v>4</v>
      </c>
      <c r="M16" s="166">
        <f>Papel!T19</f>
        <v>0</v>
      </c>
      <c r="N16" s="166">
        <f>Papel!V19</f>
        <v>3</v>
      </c>
      <c r="O16" s="180">
        <f>Papel!X19</f>
        <v>2</v>
      </c>
    </row>
    <row r="17" spans="1:15" s="141" customFormat="1">
      <c r="A17" s="567"/>
      <c r="B17" s="575" t="s">
        <v>14</v>
      </c>
      <c r="C17" s="576"/>
      <c r="D17" s="167">
        <f>Papel!B20</f>
        <v>50</v>
      </c>
      <c r="E17" s="167">
        <f>Papel!D20</f>
        <v>45</v>
      </c>
      <c r="F17" s="167">
        <f>Papel!F20</f>
        <v>65</v>
      </c>
      <c r="G17" s="167">
        <f>Papel!H20</f>
        <v>0</v>
      </c>
      <c r="H17" s="167">
        <f>Papel!J20</f>
        <v>0</v>
      </c>
      <c r="I17" s="167">
        <f>Papel!L20</f>
        <v>0</v>
      </c>
      <c r="J17" s="167">
        <f>Papel!N20</f>
        <v>0</v>
      </c>
      <c r="K17" s="167">
        <f>Papel!P20</f>
        <v>0</v>
      </c>
      <c r="L17" s="167">
        <f>Papel!R20</f>
        <v>0</v>
      </c>
      <c r="M17" s="167">
        <f>Papel!T20</f>
        <v>10</v>
      </c>
      <c r="N17" s="167">
        <f>Papel!V20</f>
        <v>10</v>
      </c>
      <c r="O17" s="172">
        <f>Papel!X20</f>
        <v>0</v>
      </c>
    </row>
    <row r="18" spans="1:15" s="141" customFormat="1">
      <c r="A18" s="567"/>
      <c r="B18" s="577" t="s">
        <v>17</v>
      </c>
      <c r="C18" s="578"/>
      <c r="D18" s="166">
        <f>Papel!B21</f>
        <v>2</v>
      </c>
      <c r="E18" s="166">
        <f>Papel!D21</f>
        <v>2</v>
      </c>
      <c r="F18" s="166">
        <f>Papel!F21</f>
        <v>4</v>
      </c>
      <c r="G18" s="166">
        <f>Papel!H21</f>
        <v>0</v>
      </c>
      <c r="H18" s="166">
        <f>Papel!J21</f>
        <v>0</v>
      </c>
      <c r="I18" s="166">
        <f>Papel!L21</f>
        <v>0</v>
      </c>
      <c r="J18" s="166">
        <f>Papel!N21</f>
        <v>0</v>
      </c>
      <c r="K18" s="166">
        <f>Papel!P21</f>
        <v>0</v>
      </c>
      <c r="L18" s="166">
        <f>Papel!R21</f>
        <v>0</v>
      </c>
      <c r="M18" s="166">
        <f>Papel!T21</f>
        <v>2</v>
      </c>
      <c r="N18" s="166">
        <f>Papel!V21</f>
        <v>2</v>
      </c>
      <c r="O18" s="180">
        <f>Papel!X21</f>
        <v>0</v>
      </c>
    </row>
    <row r="19" spans="1:15" s="141" customFormat="1">
      <c r="A19" s="567"/>
      <c r="B19" s="577" t="s">
        <v>18</v>
      </c>
      <c r="C19" s="578"/>
      <c r="D19" s="166">
        <f>Papel!B22</f>
        <v>48</v>
      </c>
      <c r="E19" s="166">
        <f>Papel!D22</f>
        <v>43</v>
      </c>
      <c r="F19" s="166">
        <f>Papel!F22</f>
        <v>61</v>
      </c>
      <c r="G19" s="166">
        <f>Papel!H22</f>
        <v>0</v>
      </c>
      <c r="H19" s="166">
        <f>Papel!J22</f>
        <v>0</v>
      </c>
      <c r="I19" s="166">
        <f>Papel!L22</f>
        <v>0</v>
      </c>
      <c r="J19" s="166">
        <f>Papel!N22</f>
        <v>0</v>
      </c>
      <c r="K19" s="166">
        <f>Papel!P22</f>
        <v>0</v>
      </c>
      <c r="L19" s="166">
        <f>Papel!R22</f>
        <v>0</v>
      </c>
      <c r="M19" s="166">
        <f>Papel!T22</f>
        <v>8</v>
      </c>
      <c r="N19" s="166">
        <f>Papel!V22</f>
        <v>8</v>
      </c>
      <c r="O19" s="180">
        <f>Papel!X22</f>
        <v>0</v>
      </c>
    </row>
    <row r="20" spans="1:15" s="141" customFormat="1">
      <c r="A20" s="567"/>
      <c r="B20" s="575" t="s">
        <v>15</v>
      </c>
      <c r="C20" s="576"/>
      <c r="D20" s="167">
        <f>Papel!B23</f>
        <v>8</v>
      </c>
      <c r="E20" s="167">
        <f>Papel!D23</f>
        <v>9</v>
      </c>
      <c r="F20" s="167">
        <f>Papel!F23</f>
        <v>14</v>
      </c>
      <c r="G20" s="167">
        <f>Papel!H23</f>
        <v>13</v>
      </c>
      <c r="H20" s="167">
        <f>Papel!J23</f>
        <v>14</v>
      </c>
      <c r="I20" s="167">
        <f>Papel!L23</f>
        <v>8</v>
      </c>
      <c r="J20" s="167">
        <f>Papel!N23</f>
        <v>10</v>
      </c>
      <c r="K20" s="167">
        <f>Papel!P23</f>
        <v>10</v>
      </c>
      <c r="L20" s="167">
        <f>Papel!R23</f>
        <v>9</v>
      </c>
      <c r="M20" s="167">
        <f>Papel!T23</f>
        <v>14</v>
      </c>
      <c r="N20" s="167">
        <f>Papel!V23</f>
        <v>15</v>
      </c>
      <c r="O20" s="172">
        <f>Papel!X23</f>
        <v>17</v>
      </c>
    </row>
    <row r="21" spans="1:15" s="141" customFormat="1">
      <c r="A21" s="567"/>
      <c r="B21" s="577" t="s">
        <v>17</v>
      </c>
      <c r="C21" s="578"/>
      <c r="D21" s="166">
        <f>Papel!B24</f>
        <v>5</v>
      </c>
      <c r="E21" s="166">
        <f>Papel!D24</f>
        <v>7</v>
      </c>
      <c r="F21" s="166">
        <f>Papel!F24</f>
        <v>7</v>
      </c>
      <c r="G21" s="166">
        <f>Papel!H24</f>
        <v>6</v>
      </c>
      <c r="H21" s="166">
        <f>Papel!J24</f>
        <v>10</v>
      </c>
      <c r="I21" s="166">
        <f>Papel!L24</f>
        <v>2</v>
      </c>
      <c r="J21" s="166">
        <f>Papel!N24</f>
        <v>7</v>
      </c>
      <c r="K21" s="166">
        <f>Papel!P24</f>
        <v>6</v>
      </c>
      <c r="L21" s="166">
        <f>Papel!R24</f>
        <v>3</v>
      </c>
      <c r="M21" s="166">
        <f>Papel!T24</f>
        <v>5</v>
      </c>
      <c r="N21" s="166">
        <f>Papel!V24</f>
        <v>7</v>
      </c>
      <c r="O21" s="180">
        <f>Papel!X24</f>
        <v>8</v>
      </c>
    </row>
    <row r="22" spans="1:15" s="141" customFormat="1" ht="15.75" thickBot="1">
      <c r="A22" s="567"/>
      <c r="B22" s="579" t="s">
        <v>16</v>
      </c>
      <c r="C22" s="580"/>
      <c r="D22" s="175">
        <f>Papel!B25</f>
        <v>3</v>
      </c>
      <c r="E22" s="175">
        <f>Papel!D25</f>
        <v>2</v>
      </c>
      <c r="F22" s="175">
        <f>Papel!F25</f>
        <v>7</v>
      </c>
      <c r="G22" s="175">
        <f>Papel!H25</f>
        <v>7</v>
      </c>
      <c r="H22" s="175">
        <f>Papel!J25</f>
        <v>4</v>
      </c>
      <c r="I22" s="175">
        <f>Papel!L25</f>
        <v>6</v>
      </c>
      <c r="J22" s="175">
        <f>Papel!N25</f>
        <v>3</v>
      </c>
      <c r="K22" s="175">
        <f>Papel!P25</f>
        <v>4</v>
      </c>
      <c r="L22" s="175">
        <f>Papel!R25</f>
        <v>6</v>
      </c>
      <c r="M22" s="175">
        <f>Papel!T25</f>
        <v>9</v>
      </c>
      <c r="N22" s="175">
        <f>Papel!V25</f>
        <v>8</v>
      </c>
      <c r="O22" s="187">
        <f>Papel!X25</f>
        <v>9</v>
      </c>
    </row>
    <row r="23" spans="1:15" s="143" customFormat="1">
      <c r="A23" s="568" t="s">
        <v>3</v>
      </c>
      <c r="B23" s="573" t="s">
        <v>223</v>
      </c>
      <c r="C23" s="574"/>
      <c r="D23" s="189">
        <f>Papel!C26</f>
        <v>1201.8500000000001</v>
      </c>
      <c r="E23" s="189">
        <f>Papel!E26</f>
        <v>1016.95</v>
      </c>
      <c r="F23" s="189">
        <f>Papel!G26</f>
        <v>1575.9800000000002</v>
      </c>
      <c r="G23" s="189">
        <f>Papel!I26</f>
        <v>369.8</v>
      </c>
      <c r="H23" s="189">
        <f>Papel!K26</f>
        <v>721.11</v>
      </c>
      <c r="I23" s="189">
        <f>Papel!M26</f>
        <v>203.39</v>
      </c>
      <c r="J23" s="189">
        <f>Papel!O26</f>
        <v>351.31</v>
      </c>
      <c r="K23" s="189">
        <f>Papel!Q26</f>
        <v>480.73999999999995</v>
      </c>
      <c r="L23" s="189">
        <f>Papel!S26</f>
        <v>332.82</v>
      </c>
      <c r="M23" s="189">
        <f>Papel!U26</f>
        <v>536.21</v>
      </c>
      <c r="N23" s="189">
        <f>Papel!W26</f>
        <v>536.21</v>
      </c>
      <c r="O23" s="190">
        <f>Papel!Y26</f>
        <v>351.31</v>
      </c>
    </row>
    <row r="24" spans="1:15" s="141" customFormat="1">
      <c r="A24" s="569"/>
      <c r="B24" s="575" t="s">
        <v>6</v>
      </c>
      <c r="C24" s="576"/>
      <c r="D24" s="168">
        <f>Papel!C11</f>
        <v>129.43</v>
      </c>
      <c r="E24" s="168">
        <f>Papel!E11</f>
        <v>18.489999999999998</v>
      </c>
      <c r="F24" s="168">
        <f>Papel!G11</f>
        <v>92.45</v>
      </c>
      <c r="G24" s="168">
        <f>Papel!I11</f>
        <v>129.43</v>
      </c>
      <c r="H24" s="168">
        <f>Papel!K11</f>
        <v>462.25</v>
      </c>
      <c r="I24" s="168">
        <f>Papel!M11</f>
        <v>55.47</v>
      </c>
      <c r="J24" s="168">
        <f>Papel!O11</f>
        <v>166.41</v>
      </c>
      <c r="K24" s="168">
        <f>Papel!Q11</f>
        <v>295.83999999999997</v>
      </c>
      <c r="L24" s="168">
        <f>Papel!S11</f>
        <v>166.41</v>
      </c>
      <c r="M24" s="168">
        <f>Papel!U11</f>
        <v>92.449999999999989</v>
      </c>
      <c r="N24" s="168">
        <f>Papel!W11</f>
        <v>73.959999999999994</v>
      </c>
      <c r="O24" s="177">
        <f>Papel!Y11</f>
        <v>36.979999999999997</v>
      </c>
    </row>
    <row r="25" spans="1:15" s="141" customFormat="1">
      <c r="A25" s="569"/>
      <c r="B25" s="577" t="s">
        <v>7</v>
      </c>
      <c r="C25" s="578"/>
      <c r="D25" s="169">
        <f>Papel!C12</f>
        <v>0</v>
      </c>
      <c r="E25" s="169">
        <f>Papel!E12</f>
        <v>0</v>
      </c>
      <c r="F25" s="169">
        <f>Papel!G12</f>
        <v>0</v>
      </c>
      <c r="G25" s="169">
        <f>Papel!I12</f>
        <v>0</v>
      </c>
      <c r="H25" s="169">
        <f>Papel!K12</f>
        <v>0</v>
      </c>
      <c r="I25" s="169">
        <f>Papel!M12</f>
        <v>0</v>
      </c>
      <c r="J25" s="169">
        <f>Papel!O12</f>
        <v>0</v>
      </c>
      <c r="K25" s="169">
        <f>Papel!Q12</f>
        <v>0</v>
      </c>
      <c r="L25" s="169">
        <f>Papel!S12</f>
        <v>0</v>
      </c>
      <c r="M25" s="169">
        <f>Papel!U12</f>
        <v>0</v>
      </c>
      <c r="N25" s="169">
        <f>Papel!W12</f>
        <v>0</v>
      </c>
      <c r="O25" s="178">
        <f>Papel!Y12</f>
        <v>0</v>
      </c>
    </row>
    <row r="26" spans="1:15" s="141" customFormat="1">
      <c r="A26" s="569"/>
      <c r="B26" s="577" t="s">
        <v>8</v>
      </c>
      <c r="C26" s="578"/>
      <c r="D26" s="169">
        <f>Papel!C13</f>
        <v>36.979999999999997</v>
      </c>
      <c r="E26" s="169">
        <f>Papel!E13</f>
        <v>18.489999999999998</v>
      </c>
      <c r="F26" s="169">
        <f>Papel!G13</f>
        <v>0</v>
      </c>
      <c r="G26" s="169">
        <f>Papel!I13</f>
        <v>0</v>
      </c>
      <c r="H26" s="169">
        <f>Papel!K13</f>
        <v>184.9</v>
      </c>
      <c r="I26" s="169">
        <f>Papel!M13</f>
        <v>55.47</v>
      </c>
      <c r="J26" s="169">
        <f>Papel!O13</f>
        <v>0</v>
      </c>
      <c r="K26" s="169">
        <f>Papel!Q13</f>
        <v>18.489999999999998</v>
      </c>
      <c r="L26" s="169">
        <f>Papel!S13</f>
        <v>92.45</v>
      </c>
      <c r="M26" s="169">
        <f>Papel!U13</f>
        <v>18.489999999999998</v>
      </c>
      <c r="N26" s="169">
        <f>Papel!W13</f>
        <v>18.489999999999998</v>
      </c>
      <c r="O26" s="178">
        <f>Papel!Y13</f>
        <v>0</v>
      </c>
    </row>
    <row r="27" spans="1:15" s="141" customFormat="1">
      <c r="A27" s="569"/>
      <c r="B27" s="577" t="s">
        <v>9</v>
      </c>
      <c r="C27" s="578"/>
      <c r="D27" s="169">
        <f>Papel!C14</f>
        <v>0</v>
      </c>
      <c r="E27" s="169">
        <f>Papel!E14</f>
        <v>0</v>
      </c>
      <c r="F27" s="169">
        <f>Papel!G14</f>
        <v>0</v>
      </c>
      <c r="G27" s="169">
        <f>Papel!I14</f>
        <v>92.45</v>
      </c>
      <c r="H27" s="169">
        <f>Papel!K14</f>
        <v>0</v>
      </c>
      <c r="I27" s="169">
        <f>Papel!M14</f>
        <v>0</v>
      </c>
      <c r="J27" s="169">
        <f>Papel!O14</f>
        <v>0</v>
      </c>
      <c r="K27" s="169">
        <f>Papel!Q14</f>
        <v>0</v>
      </c>
      <c r="L27" s="169">
        <f>Papel!S14</f>
        <v>0</v>
      </c>
      <c r="M27" s="169">
        <f>Papel!U14</f>
        <v>0</v>
      </c>
      <c r="N27" s="169">
        <f>Papel!W14</f>
        <v>0</v>
      </c>
      <c r="O27" s="178">
        <f>Papel!Y14</f>
        <v>0</v>
      </c>
    </row>
    <row r="28" spans="1:15" s="141" customFormat="1">
      <c r="A28" s="569"/>
      <c r="B28" s="577" t="s">
        <v>10</v>
      </c>
      <c r="C28" s="578"/>
      <c r="D28" s="169">
        <f>Papel!C15</f>
        <v>0</v>
      </c>
      <c r="E28" s="169">
        <f>Papel!E15</f>
        <v>0</v>
      </c>
      <c r="F28" s="169">
        <f>Papel!G15</f>
        <v>0</v>
      </c>
      <c r="G28" s="169">
        <f>Papel!I15</f>
        <v>0</v>
      </c>
      <c r="H28" s="169">
        <f>Papel!K15</f>
        <v>73.959999999999994</v>
      </c>
      <c r="I28" s="169">
        <f>Papel!M15</f>
        <v>0</v>
      </c>
      <c r="J28" s="169">
        <f>Papel!O15</f>
        <v>0</v>
      </c>
      <c r="K28" s="169">
        <f>Papel!Q15</f>
        <v>73.959999999999994</v>
      </c>
      <c r="L28" s="169">
        <f>Papel!S15</f>
        <v>0</v>
      </c>
      <c r="M28" s="169">
        <f>Papel!U15</f>
        <v>0</v>
      </c>
      <c r="N28" s="169">
        <f>Papel!W15</f>
        <v>0</v>
      </c>
      <c r="O28" s="178">
        <f>Papel!Y15</f>
        <v>0</v>
      </c>
    </row>
    <row r="29" spans="1:15" s="141" customFormat="1">
      <c r="A29" s="569"/>
      <c r="B29" s="577" t="s">
        <v>11</v>
      </c>
      <c r="C29" s="578"/>
      <c r="D29" s="169">
        <f>Papel!C16</f>
        <v>0</v>
      </c>
      <c r="E29" s="169">
        <f>Papel!E16</f>
        <v>0</v>
      </c>
      <c r="F29" s="169">
        <f>Papel!G16</f>
        <v>0</v>
      </c>
      <c r="G29" s="169">
        <f>Papel!I16</f>
        <v>0</v>
      </c>
      <c r="H29" s="169">
        <f>Papel!K16</f>
        <v>0</v>
      </c>
      <c r="I29" s="169">
        <f>Papel!M16</f>
        <v>0</v>
      </c>
      <c r="J29" s="169">
        <f>Papel!O16</f>
        <v>0</v>
      </c>
      <c r="K29" s="169">
        <f>Papel!Q16</f>
        <v>0</v>
      </c>
      <c r="L29" s="169">
        <f>Papel!S16</f>
        <v>0</v>
      </c>
      <c r="M29" s="169">
        <f>Papel!U16</f>
        <v>0</v>
      </c>
      <c r="N29" s="169">
        <f>Papel!W16</f>
        <v>0</v>
      </c>
      <c r="O29" s="178">
        <f>Papel!Y16</f>
        <v>0</v>
      </c>
    </row>
    <row r="30" spans="1:15" s="141" customFormat="1">
      <c r="A30" s="569"/>
      <c r="B30" s="577" t="s">
        <v>12</v>
      </c>
      <c r="C30" s="578"/>
      <c r="D30" s="169">
        <f>Papel!C17</f>
        <v>0</v>
      </c>
      <c r="E30" s="169">
        <f>Papel!E17</f>
        <v>0</v>
      </c>
      <c r="F30" s="169">
        <f>Papel!G17</f>
        <v>0</v>
      </c>
      <c r="G30" s="169">
        <f>Papel!I17</f>
        <v>0</v>
      </c>
      <c r="H30" s="169">
        <f>Papel!K17</f>
        <v>0</v>
      </c>
      <c r="I30" s="169">
        <f>Papel!M17</f>
        <v>0</v>
      </c>
      <c r="J30" s="169">
        <f>Papel!O17</f>
        <v>0</v>
      </c>
      <c r="K30" s="169">
        <f>Papel!Q17</f>
        <v>0</v>
      </c>
      <c r="L30" s="169">
        <f>Papel!S17</f>
        <v>0</v>
      </c>
      <c r="M30" s="169">
        <f>Papel!U17</f>
        <v>0</v>
      </c>
      <c r="N30" s="169">
        <f>Papel!W17</f>
        <v>0</v>
      </c>
      <c r="O30" s="178">
        <f>Papel!Y17</f>
        <v>0</v>
      </c>
    </row>
    <row r="31" spans="1:15" s="141" customFormat="1">
      <c r="A31" s="569"/>
      <c r="B31" s="577" t="s">
        <v>13</v>
      </c>
      <c r="C31" s="578"/>
      <c r="D31" s="169">
        <f>Papel!C19</f>
        <v>0</v>
      </c>
      <c r="E31" s="169">
        <f>Papel!E19</f>
        <v>0</v>
      </c>
      <c r="F31" s="169">
        <f>Papel!G19</f>
        <v>0</v>
      </c>
      <c r="G31" s="169">
        <f>Papel!I19</f>
        <v>36.979999999999997</v>
      </c>
      <c r="H31" s="169">
        <f>Papel!K19</f>
        <v>110.94</v>
      </c>
      <c r="I31" s="169">
        <f>Papel!M19</f>
        <v>0</v>
      </c>
      <c r="J31" s="169">
        <f>Papel!O19</f>
        <v>73.959999999999994</v>
      </c>
      <c r="K31" s="169">
        <f>Papel!Q19</f>
        <v>110.94</v>
      </c>
      <c r="L31" s="169">
        <f>Papel!S19</f>
        <v>73.959999999999994</v>
      </c>
      <c r="M31" s="169">
        <f>Papel!U19</f>
        <v>0</v>
      </c>
      <c r="N31" s="169">
        <f>Papel!W19</f>
        <v>55.47</v>
      </c>
      <c r="O31" s="178">
        <f>Papel!Y19</f>
        <v>36.979999999999997</v>
      </c>
    </row>
    <row r="32" spans="1:15" s="141" customFormat="1">
      <c r="A32" s="569"/>
      <c r="B32" s="575" t="s">
        <v>14</v>
      </c>
      <c r="C32" s="576"/>
      <c r="D32" s="168">
        <f>Papel!C20</f>
        <v>924.5</v>
      </c>
      <c r="E32" s="168">
        <f>Papel!E20</f>
        <v>832.05000000000007</v>
      </c>
      <c r="F32" s="168">
        <f>Papel!G20</f>
        <v>1201.8500000000001</v>
      </c>
      <c r="G32" s="168">
        <f>Papel!I20</f>
        <v>0</v>
      </c>
      <c r="H32" s="168">
        <f>Papel!K20</f>
        <v>0</v>
      </c>
      <c r="I32" s="168">
        <f>Papel!M20</f>
        <v>0</v>
      </c>
      <c r="J32" s="168">
        <f>Papel!O20</f>
        <v>0</v>
      </c>
      <c r="K32" s="168">
        <f>Papel!Q20</f>
        <v>0</v>
      </c>
      <c r="L32" s="168">
        <f>Papel!S20</f>
        <v>0</v>
      </c>
      <c r="M32" s="168">
        <f>Papel!U20</f>
        <v>184.89999999999998</v>
      </c>
      <c r="N32" s="168">
        <f>Papel!W20</f>
        <v>184.89999999999998</v>
      </c>
      <c r="O32" s="177">
        <f>Papel!Y20</f>
        <v>0</v>
      </c>
    </row>
    <row r="33" spans="1:15" s="141" customFormat="1">
      <c r="A33" s="569"/>
      <c r="B33" s="577" t="s">
        <v>17</v>
      </c>
      <c r="C33" s="578"/>
      <c r="D33" s="169">
        <f>Papel!C21</f>
        <v>36.979999999999997</v>
      </c>
      <c r="E33" s="169">
        <f>Papel!E21</f>
        <v>36.979999999999997</v>
      </c>
      <c r="F33" s="169">
        <f>Papel!G21</f>
        <v>73.959999999999994</v>
      </c>
      <c r="G33" s="169">
        <f>Papel!I21</f>
        <v>0</v>
      </c>
      <c r="H33" s="169">
        <f>Papel!K21</f>
        <v>0</v>
      </c>
      <c r="I33" s="169">
        <f>Papel!M21</f>
        <v>0</v>
      </c>
      <c r="J33" s="169">
        <f>Papel!O21</f>
        <v>0</v>
      </c>
      <c r="K33" s="169">
        <f>Papel!Q21</f>
        <v>0</v>
      </c>
      <c r="L33" s="169">
        <f>Papel!S21</f>
        <v>0</v>
      </c>
      <c r="M33" s="169">
        <f>Papel!U21</f>
        <v>36.979999999999997</v>
      </c>
      <c r="N33" s="169">
        <f>Papel!W21</f>
        <v>36.979999999999997</v>
      </c>
      <c r="O33" s="178">
        <f>Papel!Y21</f>
        <v>0</v>
      </c>
    </row>
    <row r="34" spans="1:15" s="141" customFormat="1">
      <c r="A34" s="569"/>
      <c r="B34" s="577" t="s">
        <v>18</v>
      </c>
      <c r="C34" s="578"/>
      <c r="D34" s="169">
        <f>Papel!C22</f>
        <v>887.52</v>
      </c>
      <c r="E34" s="169">
        <f>Papel!E22</f>
        <v>795.07</v>
      </c>
      <c r="F34" s="169">
        <f>Papel!G22</f>
        <v>1127.8900000000001</v>
      </c>
      <c r="G34" s="169">
        <f>Papel!I22</f>
        <v>0</v>
      </c>
      <c r="H34" s="169">
        <f>Papel!K22</f>
        <v>0</v>
      </c>
      <c r="I34" s="169">
        <f>Papel!M22</f>
        <v>0</v>
      </c>
      <c r="J34" s="169">
        <f>Papel!O22</f>
        <v>0</v>
      </c>
      <c r="K34" s="169">
        <f>Papel!Q22</f>
        <v>0</v>
      </c>
      <c r="L34" s="169">
        <f>Papel!S22</f>
        <v>0</v>
      </c>
      <c r="M34" s="169">
        <f>Papel!U22</f>
        <v>147.91999999999999</v>
      </c>
      <c r="N34" s="169">
        <f>Papel!W22</f>
        <v>147.91999999999999</v>
      </c>
      <c r="O34" s="178">
        <f>Papel!Y22</f>
        <v>0</v>
      </c>
    </row>
    <row r="35" spans="1:15" s="141" customFormat="1">
      <c r="A35" s="569"/>
      <c r="B35" s="575" t="s">
        <v>15</v>
      </c>
      <c r="C35" s="576"/>
      <c r="D35" s="168">
        <f>Papel!C23</f>
        <v>147.92000000000002</v>
      </c>
      <c r="E35" s="168">
        <f>Papel!E23</f>
        <v>166.41</v>
      </c>
      <c r="F35" s="168">
        <f>Papel!G23</f>
        <v>281.68</v>
      </c>
      <c r="G35" s="168">
        <f>Papel!I23</f>
        <v>240.37</v>
      </c>
      <c r="H35" s="168">
        <f>Papel!K23</f>
        <v>258.86</v>
      </c>
      <c r="I35" s="168">
        <f>Papel!M23</f>
        <v>147.91999999999999</v>
      </c>
      <c r="J35" s="168">
        <f>Papel!O23</f>
        <v>184.9</v>
      </c>
      <c r="K35" s="168">
        <f>Papel!Q23</f>
        <v>184.89999999999998</v>
      </c>
      <c r="L35" s="168">
        <f>Papel!S23</f>
        <v>166.41</v>
      </c>
      <c r="M35" s="168">
        <f>Papel!U23</f>
        <v>258.86</v>
      </c>
      <c r="N35" s="168">
        <f>Papel!W23</f>
        <v>277.35000000000002</v>
      </c>
      <c r="O35" s="177">
        <f>Papel!Y23</f>
        <v>314.33</v>
      </c>
    </row>
    <row r="36" spans="1:15" s="141" customFormat="1">
      <c r="A36" s="569"/>
      <c r="B36" s="577" t="s">
        <v>17</v>
      </c>
      <c r="C36" s="578"/>
      <c r="D36" s="169">
        <f>Papel!C24</f>
        <v>92.45</v>
      </c>
      <c r="E36" s="169">
        <f>Papel!E24</f>
        <v>129.43</v>
      </c>
      <c r="F36" s="169">
        <f>Papel!G24</f>
        <v>140.84</v>
      </c>
      <c r="G36" s="169">
        <f>Papel!I24</f>
        <v>110.94</v>
      </c>
      <c r="H36" s="169">
        <f>Papel!K24</f>
        <v>184.9</v>
      </c>
      <c r="I36" s="169">
        <f>Papel!M24</f>
        <v>36.979999999999997</v>
      </c>
      <c r="J36" s="169">
        <f>Papel!O24</f>
        <v>129.43</v>
      </c>
      <c r="K36" s="169">
        <f>Papel!Q24</f>
        <v>110.94</v>
      </c>
      <c r="L36" s="169">
        <f>Papel!S24</f>
        <v>55.47</v>
      </c>
      <c r="M36" s="169">
        <f>Papel!U24</f>
        <v>92.45</v>
      </c>
      <c r="N36" s="169">
        <f>Papel!W24</f>
        <v>129.43</v>
      </c>
      <c r="O36" s="178">
        <f>Papel!Y24</f>
        <v>147.91999999999999</v>
      </c>
    </row>
    <row r="37" spans="1:15" s="141" customFormat="1" ht="15.75" thickBot="1">
      <c r="A37" s="570"/>
      <c r="B37" s="579" t="s">
        <v>16</v>
      </c>
      <c r="C37" s="580"/>
      <c r="D37" s="171">
        <f>Papel!C25</f>
        <v>55.47</v>
      </c>
      <c r="E37" s="171">
        <f>Papel!E25</f>
        <v>36.979999999999997</v>
      </c>
      <c r="F37" s="171">
        <f>Papel!G25</f>
        <v>140.84</v>
      </c>
      <c r="G37" s="171">
        <f>Papel!I25</f>
        <v>129.43</v>
      </c>
      <c r="H37" s="171">
        <f>Papel!K25</f>
        <v>73.959999999999994</v>
      </c>
      <c r="I37" s="171">
        <f>Papel!M25</f>
        <v>110.94</v>
      </c>
      <c r="J37" s="171">
        <f>Papel!O25</f>
        <v>55.47</v>
      </c>
      <c r="K37" s="171">
        <f>Papel!Q25</f>
        <v>73.959999999999994</v>
      </c>
      <c r="L37" s="171">
        <f>Papel!S25</f>
        <v>110.94</v>
      </c>
      <c r="M37" s="171">
        <f>Papel!U25</f>
        <v>166.41</v>
      </c>
      <c r="N37" s="171">
        <f>Papel!W25</f>
        <v>147.91999999999999</v>
      </c>
      <c r="O37" s="188">
        <f>Papel!Y25</f>
        <v>166.41</v>
      </c>
    </row>
    <row r="38" spans="1:15" s="143" customFormat="1">
      <c r="A38" s="568" t="s">
        <v>19</v>
      </c>
      <c r="B38" s="573" t="s">
        <v>224</v>
      </c>
      <c r="C38" s="574"/>
      <c r="D38" s="182">
        <f>Papel!B48</f>
        <v>80</v>
      </c>
      <c r="E38" s="182">
        <f>Papel!D48</f>
        <v>82</v>
      </c>
      <c r="F38" s="182">
        <f>Papel!F48</f>
        <v>133</v>
      </c>
      <c r="G38" s="182">
        <f>Papel!H48</f>
        <v>108</v>
      </c>
      <c r="H38" s="182">
        <f>Papel!J48</f>
        <v>201</v>
      </c>
      <c r="I38" s="182">
        <f>Papel!L48</f>
        <v>127</v>
      </c>
      <c r="J38" s="182">
        <f>Papel!N48</f>
        <v>122</v>
      </c>
      <c r="K38" s="182">
        <f>Papel!P48</f>
        <v>190</v>
      </c>
      <c r="L38" s="182">
        <f>Papel!R48</f>
        <v>87</v>
      </c>
      <c r="M38" s="182">
        <f>Papel!T48</f>
        <v>141</v>
      </c>
      <c r="N38" s="182">
        <f>Papel!V48</f>
        <v>128</v>
      </c>
      <c r="O38" s="183">
        <f>Papel!X48</f>
        <v>83</v>
      </c>
    </row>
    <row r="39" spans="1:15" s="141" customFormat="1">
      <c r="A39" s="569"/>
      <c r="B39" s="575" t="s">
        <v>6</v>
      </c>
      <c r="C39" s="576"/>
      <c r="D39" s="167">
        <f>Papel!B33</f>
        <v>78</v>
      </c>
      <c r="E39" s="167">
        <f>Papel!D33</f>
        <v>78</v>
      </c>
      <c r="F39" s="167">
        <f>Papel!F33</f>
        <v>130</v>
      </c>
      <c r="G39" s="167">
        <f>Papel!H33</f>
        <v>57</v>
      </c>
      <c r="H39" s="167">
        <f>Papel!J33</f>
        <v>158</v>
      </c>
      <c r="I39" s="167">
        <f>Papel!L33</f>
        <v>77</v>
      </c>
      <c r="J39" s="167">
        <f>Papel!N33</f>
        <v>57</v>
      </c>
      <c r="K39" s="167">
        <f>Papel!P33</f>
        <v>128</v>
      </c>
      <c r="L39" s="167">
        <f>Papel!R33</f>
        <v>45</v>
      </c>
      <c r="M39" s="167">
        <f>Papel!T33</f>
        <v>95</v>
      </c>
      <c r="N39" s="167">
        <f>Papel!V33</f>
        <v>73</v>
      </c>
      <c r="O39" s="172">
        <f>Papel!X33</f>
        <v>44</v>
      </c>
    </row>
    <row r="40" spans="1:15" s="141" customFormat="1">
      <c r="A40" s="569"/>
      <c r="B40" s="577" t="s">
        <v>7</v>
      </c>
      <c r="C40" s="578"/>
      <c r="D40" s="166">
        <f>Papel!B34</f>
        <v>6</v>
      </c>
      <c r="E40" s="166">
        <f>Papel!D34</f>
        <v>0</v>
      </c>
      <c r="F40" s="166">
        <f>Papel!F34</f>
        <v>0</v>
      </c>
      <c r="G40" s="166">
        <f>Papel!H34</f>
        <v>11</v>
      </c>
      <c r="H40" s="166">
        <f>Papel!J34</f>
        <v>0</v>
      </c>
      <c r="I40" s="166">
        <f>Papel!L34</f>
        <v>0</v>
      </c>
      <c r="J40" s="166">
        <f>Papel!N34</f>
        <v>10</v>
      </c>
      <c r="K40" s="166">
        <f>Papel!P34</f>
        <v>0</v>
      </c>
      <c r="L40" s="166">
        <f>Papel!R34</f>
        <v>0</v>
      </c>
      <c r="M40" s="166">
        <f>Papel!T34</f>
        <v>10</v>
      </c>
      <c r="N40" s="166">
        <f>Papel!V34</f>
        <v>0</v>
      </c>
      <c r="O40" s="180">
        <f>Papel!X34</f>
        <v>0</v>
      </c>
    </row>
    <row r="41" spans="1:15" s="141" customFormat="1">
      <c r="A41" s="569"/>
      <c r="B41" s="577" t="s">
        <v>8</v>
      </c>
      <c r="C41" s="578"/>
      <c r="D41" s="166">
        <f>Papel!B35</f>
        <v>17</v>
      </c>
      <c r="E41" s="166">
        <f>Papel!D35</f>
        <v>42</v>
      </c>
      <c r="F41" s="166">
        <f>Papel!F35</f>
        <v>27</v>
      </c>
      <c r="G41" s="166">
        <f>Papel!H35</f>
        <v>10</v>
      </c>
      <c r="H41" s="166">
        <f>Papel!J35</f>
        <v>40</v>
      </c>
      <c r="I41" s="166">
        <f>Papel!L35</f>
        <v>31</v>
      </c>
      <c r="J41" s="166">
        <f>Papel!N35</f>
        <v>17</v>
      </c>
      <c r="K41" s="166">
        <f>Papel!P35</f>
        <v>41</v>
      </c>
      <c r="L41" s="166">
        <f>Papel!R35</f>
        <v>25</v>
      </c>
      <c r="M41" s="166">
        <f>Papel!T35</f>
        <v>23</v>
      </c>
      <c r="N41" s="166">
        <f>Papel!V35</f>
        <v>26</v>
      </c>
      <c r="O41" s="180">
        <f>Papel!X35</f>
        <v>9</v>
      </c>
    </row>
    <row r="42" spans="1:15" s="141" customFormat="1">
      <c r="A42" s="569"/>
      <c r="B42" s="577" t="s">
        <v>9</v>
      </c>
      <c r="C42" s="578"/>
      <c r="D42" s="166">
        <f>Papel!B36</f>
        <v>0</v>
      </c>
      <c r="E42" s="166">
        <f>Papel!D36</f>
        <v>3</v>
      </c>
      <c r="F42" s="166">
        <f>Papel!F36</f>
        <v>40</v>
      </c>
      <c r="G42" s="166">
        <f>Papel!H36</f>
        <v>17</v>
      </c>
      <c r="H42" s="166">
        <f>Papel!J36</f>
        <v>20</v>
      </c>
      <c r="I42" s="166">
        <f>Papel!L36</f>
        <v>0</v>
      </c>
      <c r="J42" s="166">
        <f>Papel!N36</f>
        <v>0</v>
      </c>
      <c r="K42" s="166">
        <f>Papel!P36</f>
        <v>10</v>
      </c>
      <c r="L42" s="166">
        <f>Papel!R36</f>
        <v>0</v>
      </c>
      <c r="M42" s="166">
        <f>Papel!T36</f>
        <v>10</v>
      </c>
      <c r="N42" s="166">
        <f>Papel!V36</f>
        <v>0</v>
      </c>
      <c r="O42" s="180">
        <f>Papel!X36</f>
        <v>0</v>
      </c>
    </row>
    <row r="43" spans="1:15" s="141" customFormat="1">
      <c r="A43" s="569"/>
      <c r="B43" s="577" t="s">
        <v>10</v>
      </c>
      <c r="C43" s="578"/>
      <c r="D43" s="166">
        <f>Papel!B37</f>
        <v>20</v>
      </c>
      <c r="E43" s="166">
        <f>Papel!D37</f>
        <v>0</v>
      </c>
      <c r="F43" s="166">
        <f>Papel!F37</f>
        <v>20</v>
      </c>
      <c r="G43" s="166">
        <f>Papel!H37</f>
        <v>0</v>
      </c>
      <c r="H43" s="166">
        <f>Papel!J37</f>
        <v>15</v>
      </c>
      <c r="I43" s="166">
        <f>Papel!L37</f>
        <v>0</v>
      </c>
      <c r="J43" s="166">
        <f>Papel!N37</f>
        <v>0</v>
      </c>
      <c r="K43" s="166">
        <f>Papel!P37</f>
        <v>20</v>
      </c>
      <c r="L43" s="166">
        <f>Papel!R37</f>
        <v>0</v>
      </c>
      <c r="M43" s="166">
        <f>Papel!T37</f>
        <v>0</v>
      </c>
      <c r="N43" s="166">
        <f>Papel!V37</f>
        <v>20</v>
      </c>
      <c r="O43" s="180">
        <f>Papel!X37</f>
        <v>0</v>
      </c>
    </row>
    <row r="44" spans="1:15" s="141" customFormat="1">
      <c r="A44" s="569"/>
      <c r="B44" s="577" t="s">
        <v>11</v>
      </c>
      <c r="C44" s="578"/>
      <c r="D44" s="166">
        <f>Papel!B38</f>
        <v>5</v>
      </c>
      <c r="E44" s="166">
        <f>Papel!D38</f>
        <v>10</v>
      </c>
      <c r="F44" s="166">
        <f>Papel!F38</f>
        <v>15</v>
      </c>
      <c r="G44" s="166">
        <f>Papel!H38</f>
        <v>4</v>
      </c>
      <c r="H44" s="166">
        <f>Papel!J38</f>
        <v>15</v>
      </c>
      <c r="I44" s="166">
        <f>Papel!L38</f>
        <v>18</v>
      </c>
      <c r="J44" s="166">
        <f>Papel!N38</f>
        <v>10</v>
      </c>
      <c r="K44" s="166">
        <f>Papel!P38</f>
        <v>20</v>
      </c>
      <c r="L44" s="166">
        <f>Papel!R38</f>
        <v>15</v>
      </c>
      <c r="M44" s="166">
        <f>Papel!T38</f>
        <v>13</v>
      </c>
      <c r="N44" s="166">
        <f>Papel!V38</f>
        <v>25</v>
      </c>
      <c r="O44" s="180">
        <f>Papel!X38</f>
        <v>0</v>
      </c>
    </row>
    <row r="45" spans="1:15" s="141" customFormat="1">
      <c r="A45" s="569"/>
      <c r="B45" s="577" t="s">
        <v>12</v>
      </c>
      <c r="C45" s="578"/>
      <c r="D45" s="166">
        <f>Papel!B39</f>
        <v>20</v>
      </c>
      <c r="E45" s="166">
        <f>Papel!D39</f>
        <v>10</v>
      </c>
      <c r="F45" s="166">
        <f>Papel!F39</f>
        <v>15</v>
      </c>
      <c r="G45" s="166">
        <f>Papel!H39</f>
        <v>0</v>
      </c>
      <c r="H45" s="166">
        <f>Papel!J39</f>
        <v>40</v>
      </c>
      <c r="I45" s="166">
        <f>Papel!L39</f>
        <v>20</v>
      </c>
      <c r="J45" s="166">
        <f>Papel!N39</f>
        <v>0</v>
      </c>
      <c r="K45" s="166">
        <f>Papel!P39</f>
        <v>20</v>
      </c>
      <c r="L45" s="166">
        <f>Papel!R39</f>
        <v>0</v>
      </c>
      <c r="M45" s="166">
        <f>Papel!T39</f>
        <v>20</v>
      </c>
      <c r="N45" s="166">
        <f>Papel!V39</f>
        <v>0</v>
      </c>
      <c r="O45" s="180">
        <f>Papel!X39</f>
        <v>10</v>
      </c>
    </row>
    <row r="46" spans="1:15" s="141" customFormat="1">
      <c r="A46" s="569"/>
      <c r="B46" s="577" t="s">
        <v>13</v>
      </c>
      <c r="C46" s="578"/>
      <c r="D46" s="166">
        <f>Papel!B41</f>
        <v>10</v>
      </c>
      <c r="E46" s="166">
        <f>Papel!D41</f>
        <v>3</v>
      </c>
      <c r="F46" s="166">
        <f>Papel!F41</f>
        <v>3</v>
      </c>
      <c r="G46" s="166">
        <f>Papel!H41</f>
        <v>15</v>
      </c>
      <c r="H46" s="166">
        <f>Papel!J41</f>
        <v>12</v>
      </c>
      <c r="I46" s="166">
        <f>Papel!L41</f>
        <v>8</v>
      </c>
      <c r="J46" s="166">
        <f>Papel!N41</f>
        <v>10</v>
      </c>
      <c r="K46" s="166">
        <f>Papel!P41</f>
        <v>7</v>
      </c>
      <c r="L46" s="166">
        <f>Papel!R41</f>
        <v>5</v>
      </c>
      <c r="M46" s="166">
        <f>Papel!T41</f>
        <v>14</v>
      </c>
      <c r="N46" s="166">
        <f>Papel!V41</f>
        <v>2</v>
      </c>
      <c r="O46" s="180">
        <f>Papel!X41</f>
        <v>15</v>
      </c>
    </row>
    <row r="47" spans="1:15" s="141" customFormat="1">
      <c r="A47" s="569"/>
      <c r="B47" s="575" t="s">
        <v>14</v>
      </c>
      <c r="C47" s="576"/>
      <c r="D47" s="167">
        <f>Papel!B42</f>
        <v>0</v>
      </c>
      <c r="E47" s="167">
        <f>Papel!D42</f>
        <v>0</v>
      </c>
      <c r="F47" s="167">
        <f>Papel!F42</f>
        <v>0</v>
      </c>
      <c r="G47" s="167">
        <f>Papel!H42</f>
        <v>44</v>
      </c>
      <c r="H47" s="167">
        <f>Papel!J42</f>
        <v>40</v>
      </c>
      <c r="I47" s="167">
        <f>Papel!L42</f>
        <v>45</v>
      </c>
      <c r="J47" s="167">
        <f>Papel!N42</f>
        <v>60</v>
      </c>
      <c r="K47" s="167">
        <f>Papel!P42</f>
        <v>59</v>
      </c>
      <c r="L47" s="167">
        <f>Papel!R42</f>
        <v>35</v>
      </c>
      <c r="M47" s="167">
        <f>Papel!T42</f>
        <v>35</v>
      </c>
      <c r="N47" s="167">
        <f>Papel!V42</f>
        <v>40</v>
      </c>
      <c r="O47" s="172">
        <f>Papel!X42</f>
        <v>30</v>
      </c>
    </row>
    <row r="48" spans="1:15" s="141" customFormat="1">
      <c r="A48" s="569"/>
      <c r="B48" s="577" t="s">
        <v>17</v>
      </c>
      <c r="C48" s="578"/>
      <c r="D48" s="166">
        <f>Papel!B43</f>
        <v>0</v>
      </c>
      <c r="E48" s="166">
        <f>Papel!D43</f>
        <v>0</v>
      </c>
      <c r="F48" s="166">
        <f>Papel!F43</f>
        <v>0</v>
      </c>
      <c r="G48" s="166">
        <f>Papel!H43</f>
        <v>4</v>
      </c>
      <c r="H48" s="166">
        <f>Papel!J43</f>
        <v>3</v>
      </c>
      <c r="I48" s="166">
        <f>Papel!L43</f>
        <v>4</v>
      </c>
      <c r="J48" s="166">
        <f>Papel!N43</f>
        <v>4</v>
      </c>
      <c r="K48" s="166">
        <f>Papel!P43</f>
        <v>3</v>
      </c>
      <c r="L48" s="166">
        <f>Papel!R43</f>
        <v>3</v>
      </c>
      <c r="M48" s="166">
        <f>Papel!T43</f>
        <v>3</v>
      </c>
      <c r="N48" s="166">
        <f>Papel!V43</f>
        <v>3</v>
      </c>
      <c r="O48" s="180">
        <f>Papel!X43</f>
        <v>4</v>
      </c>
    </row>
    <row r="49" spans="1:15" s="141" customFormat="1">
      <c r="A49" s="569"/>
      <c r="B49" s="577" t="s">
        <v>18</v>
      </c>
      <c r="C49" s="578"/>
      <c r="D49" s="166">
        <f>Papel!B44</f>
        <v>0</v>
      </c>
      <c r="E49" s="166">
        <f>Papel!D44</f>
        <v>0</v>
      </c>
      <c r="F49" s="166">
        <f>Papel!F44</f>
        <v>0</v>
      </c>
      <c r="G49" s="166">
        <f>Papel!H44</f>
        <v>40</v>
      </c>
      <c r="H49" s="166">
        <f>Papel!J44</f>
        <v>37</v>
      </c>
      <c r="I49" s="166">
        <f>Papel!L44</f>
        <v>41</v>
      </c>
      <c r="J49" s="166">
        <f>Papel!N44</f>
        <v>56</v>
      </c>
      <c r="K49" s="166">
        <f>Papel!P44</f>
        <v>56</v>
      </c>
      <c r="L49" s="166">
        <f>Papel!R44</f>
        <v>32</v>
      </c>
      <c r="M49" s="166">
        <f>Papel!T44</f>
        <v>32</v>
      </c>
      <c r="N49" s="166">
        <f>Papel!V44</f>
        <v>37</v>
      </c>
      <c r="O49" s="180">
        <f>Papel!X44</f>
        <v>26</v>
      </c>
    </row>
    <row r="50" spans="1:15" s="141" customFormat="1">
      <c r="A50" s="569"/>
      <c r="B50" s="575" t="s">
        <v>15</v>
      </c>
      <c r="C50" s="576"/>
      <c r="D50" s="167">
        <f>Papel!B45</f>
        <v>2</v>
      </c>
      <c r="E50" s="167">
        <f>Papel!D45</f>
        <v>4</v>
      </c>
      <c r="F50" s="167">
        <f>Papel!F45</f>
        <v>3</v>
      </c>
      <c r="G50" s="167">
        <f>Papel!H45</f>
        <v>7</v>
      </c>
      <c r="H50" s="167">
        <f>Papel!J45</f>
        <v>3</v>
      </c>
      <c r="I50" s="167">
        <f>Papel!L45</f>
        <v>5</v>
      </c>
      <c r="J50" s="167">
        <f>Papel!N45</f>
        <v>5</v>
      </c>
      <c r="K50" s="167">
        <f>Papel!P45</f>
        <v>3</v>
      </c>
      <c r="L50" s="167">
        <f>Papel!R45</f>
        <v>7</v>
      </c>
      <c r="M50" s="167">
        <f>Papel!T45</f>
        <v>11</v>
      </c>
      <c r="N50" s="167">
        <f>Papel!V45</f>
        <v>15</v>
      </c>
      <c r="O50" s="172">
        <f>Papel!X45</f>
        <v>9</v>
      </c>
    </row>
    <row r="51" spans="1:15" s="141" customFormat="1">
      <c r="A51" s="569"/>
      <c r="B51" s="577" t="s">
        <v>17</v>
      </c>
      <c r="C51" s="578"/>
      <c r="D51" s="166">
        <f>Papel!B46</f>
        <v>0</v>
      </c>
      <c r="E51" s="166">
        <f>Papel!D46</f>
        <v>1</v>
      </c>
      <c r="F51" s="166">
        <f>Papel!F46</f>
        <v>0</v>
      </c>
      <c r="G51" s="166">
        <f>Papel!H46</f>
        <v>1</v>
      </c>
      <c r="H51" s="166">
        <f>Papel!J46</f>
        <v>2</v>
      </c>
      <c r="I51" s="166">
        <f>Papel!L46</f>
        <v>3</v>
      </c>
      <c r="J51" s="166">
        <f>Papel!N46</f>
        <v>0</v>
      </c>
      <c r="K51" s="166">
        <f>Papel!P46</f>
        <v>1</v>
      </c>
      <c r="L51" s="166">
        <f>Papel!R46</f>
        <v>3</v>
      </c>
      <c r="M51" s="166">
        <f>Papel!T46</f>
        <v>6</v>
      </c>
      <c r="N51" s="166">
        <f>Papel!V46</f>
        <v>7</v>
      </c>
      <c r="O51" s="180">
        <f>Papel!X46</f>
        <v>5</v>
      </c>
    </row>
    <row r="52" spans="1:15" s="141" customFormat="1" ht="15.75" thickBot="1">
      <c r="A52" s="570"/>
      <c r="B52" s="579" t="s">
        <v>16</v>
      </c>
      <c r="C52" s="580"/>
      <c r="D52" s="175">
        <f>Papel!B47</f>
        <v>2</v>
      </c>
      <c r="E52" s="175">
        <f>Papel!D47</f>
        <v>3</v>
      </c>
      <c r="F52" s="175">
        <f>Papel!F47</f>
        <v>3</v>
      </c>
      <c r="G52" s="175">
        <f>Papel!H47</f>
        <v>6</v>
      </c>
      <c r="H52" s="175">
        <f>Papel!J47</f>
        <v>1</v>
      </c>
      <c r="I52" s="175">
        <f>Papel!L47</f>
        <v>2</v>
      </c>
      <c r="J52" s="175">
        <f>Papel!N47</f>
        <v>5</v>
      </c>
      <c r="K52" s="175">
        <f>Papel!P47</f>
        <v>2</v>
      </c>
      <c r="L52" s="175">
        <f>Papel!R47</f>
        <v>4</v>
      </c>
      <c r="M52" s="175">
        <f>Papel!T47</f>
        <v>5</v>
      </c>
      <c r="N52" s="175">
        <f>Papel!V47</f>
        <v>8</v>
      </c>
      <c r="O52" s="187">
        <f>Papel!X47</f>
        <v>4</v>
      </c>
    </row>
    <row r="53" spans="1:15" s="255" customFormat="1">
      <c r="A53" s="568" t="s">
        <v>20</v>
      </c>
      <c r="B53" s="573" t="s">
        <v>225</v>
      </c>
      <c r="C53" s="574"/>
      <c r="D53" s="189">
        <f>Papel!C48</f>
        <v>1610.38</v>
      </c>
      <c r="E53" s="189">
        <f>Papel!E48</f>
        <v>1644.1000000000001</v>
      </c>
      <c r="F53" s="189">
        <f>Papel!G48</f>
        <v>2677.2599999999998</v>
      </c>
      <c r="G53" s="189">
        <f>Papel!I48</f>
        <v>2173.9700000000003</v>
      </c>
      <c r="H53" s="189">
        <f>Papel!K48</f>
        <v>3786.98</v>
      </c>
      <c r="I53" s="189">
        <f>Papel!M48</f>
        <v>2556.4599999999996</v>
      </c>
      <c r="J53" s="189">
        <f>Papel!O48</f>
        <v>2455.81</v>
      </c>
      <c r="K53" s="189">
        <f>Papel!Q48</f>
        <v>3824.67</v>
      </c>
      <c r="L53" s="189">
        <f>Papel!S48</f>
        <v>1751.24</v>
      </c>
      <c r="M53" s="189">
        <f>Papel!U48</f>
        <v>2838.2200000000003</v>
      </c>
      <c r="N53" s="189">
        <f>Papel!W48</f>
        <v>2576.4900000000002</v>
      </c>
      <c r="O53" s="190">
        <f>Papel!Y48</f>
        <v>1670.6999999999998</v>
      </c>
    </row>
    <row r="54" spans="1:15" s="141" customFormat="1">
      <c r="A54" s="569"/>
      <c r="B54" s="575" t="s">
        <v>6</v>
      </c>
      <c r="C54" s="576"/>
      <c r="D54" s="168">
        <f>Papel!C33</f>
        <v>1570.14</v>
      </c>
      <c r="E54" s="168">
        <f>Papel!E33</f>
        <v>1570.14</v>
      </c>
      <c r="F54" s="168">
        <f>Papel!G33</f>
        <v>2616.8999999999996</v>
      </c>
      <c r="G54" s="168">
        <f>Papel!I33</f>
        <v>1147.4100000000001</v>
      </c>
      <c r="H54" s="168">
        <f>Papel!K33</f>
        <v>2921.42</v>
      </c>
      <c r="I54" s="168">
        <f>Papel!M33</f>
        <v>1550.0099999999998</v>
      </c>
      <c r="J54" s="168">
        <f>Papel!O33</f>
        <v>1147.4099999999999</v>
      </c>
      <c r="K54" s="168">
        <f>Papel!Q33</f>
        <v>2576.64</v>
      </c>
      <c r="L54" s="168">
        <f>Papel!S33</f>
        <v>905.85</v>
      </c>
      <c r="M54" s="168">
        <f>Papel!U33</f>
        <v>1912.3500000000001</v>
      </c>
      <c r="N54" s="168">
        <f>Papel!W33</f>
        <v>1469.49</v>
      </c>
      <c r="O54" s="177">
        <f>Papel!Y33</f>
        <v>885.72</v>
      </c>
    </row>
    <row r="55" spans="1:15" s="141" customFormat="1">
      <c r="A55" s="569"/>
      <c r="B55" s="577" t="s">
        <v>7</v>
      </c>
      <c r="C55" s="578"/>
      <c r="D55" s="169">
        <f>Papel!C34</f>
        <v>120.78</v>
      </c>
      <c r="E55" s="169">
        <f>Papel!E34</f>
        <v>0</v>
      </c>
      <c r="F55" s="169">
        <f>Papel!G34</f>
        <v>0</v>
      </c>
      <c r="G55" s="169">
        <f>Papel!I34</f>
        <v>221.43</v>
      </c>
      <c r="H55" s="169">
        <f>Papel!K34</f>
        <v>0</v>
      </c>
      <c r="I55" s="169">
        <f>Papel!M34</f>
        <v>0</v>
      </c>
      <c r="J55" s="169">
        <f>Papel!O34</f>
        <v>201.3</v>
      </c>
      <c r="K55" s="169">
        <f>Papel!Q34</f>
        <v>0</v>
      </c>
      <c r="L55" s="169">
        <f>Papel!S34</f>
        <v>0</v>
      </c>
      <c r="M55" s="169">
        <f>Papel!U34</f>
        <v>201.3</v>
      </c>
      <c r="N55" s="169">
        <f>Papel!W34</f>
        <v>0</v>
      </c>
      <c r="O55" s="178">
        <f>Papel!Y34</f>
        <v>0</v>
      </c>
    </row>
    <row r="56" spans="1:15" s="141" customFormat="1">
      <c r="A56" s="569"/>
      <c r="B56" s="577" t="s">
        <v>8</v>
      </c>
      <c r="C56" s="578"/>
      <c r="D56" s="169">
        <f>Papel!C35</f>
        <v>342.21</v>
      </c>
      <c r="E56" s="169">
        <f>Papel!E35</f>
        <v>845.46</v>
      </c>
      <c r="F56" s="169">
        <f>Papel!G35</f>
        <v>543.51</v>
      </c>
      <c r="G56" s="169">
        <f>Papel!I35</f>
        <v>201.3</v>
      </c>
      <c r="H56" s="169">
        <f>Papel!K35</f>
        <v>739.6</v>
      </c>
      <c r="I56" s="169">
        <f>Papel!M35</f>
        <v>624.03</v>
      </c>
      <c r="J56" s="169">
        <f>Papel!O35</f>
        <v>342.21</v>
      </c>
      <c r="K56" s="169">
        <f>Papel!Q35</f>
        <v>825.33</v>
      </c>
      <c r="L56" s="169">
        <f>Papel!S35</f>
        <v>503.25</v>
      </c>
      <c r="M56" s="169">
        <f>Papel!U35</f>
        <v>462.99</v>
      </c>
      <c r="N56" s="169">
        <f>Papel!W35</f>
        <v>523.38</v>
      </c>
      <c r="O56" s="178">
        <f>Papel!Y35</f>
        <v>181.17</v>
      </c>
    </row>
    <row r="57" spans="1:15" s="141" customFormat="1">
      <c r="A57" s="569"/>
      <c r="B57" s="577" t="s">
        <v>9</v>
      </c>
      <c r="C57" s="578"/>
      <c r="D57" s="169">
        <f>Papel!C36</f>
        <v>0</v>
      </c>
      <c r="E57" s="169">
        <f>Papel!E36</f>
        <v>60.39</v>
      </c>
      <c r="F57" s="169">
        <f>Papel!G36</f>
        <v>805.2</v>
      </c>
      <c r="G57" s="169">
        <f>Papel!I36</f>
        <v>342.21</v>
      </c>
      <c r="H57" s="169">
        <f>Papel!K36</f>
        <v>369.8</v>
      </c>
      <c r="I57" s="169">
        <f>Papel!M36</f>
        <v>0</v>
      </c>
      <c r="J57" s="169">
        <f>Papel!O36</f>
        <v>0</v>
      </c>
      <c r="K57" s="169">
        <f>Papel!Q36</f>
        <v>201.3</v>
      </c>
      <c r="L57" s="169">
        <f>Papel!S36</f>
        <v>0</v>
      </c>
      <c r="M57" s="169">
        <f>Papel!U36</f>
        <v>201.3</v>
      </c>
      <c r="N57" s="169">
        <f>Papel!W36</f>
        <v>0</v>
      </c>
      <c r="O57" s="178">
        <f>Papel!Y36</f>
        <v>0</v>
      </c>
    </row>
    <row r="58" spans="1:15" s="141" customFormat="1">
      <c r="A58" s="569"/>
      <c r="B58" s="577" t="s">
        <v>10</v>
      </c>
      <c r="C58" s="578"/>
      <c r="D58" s="169">
        <f>Papel!C37</f>
        <v>402.6</v>
      </c>
      <c r="E58" s="169">
        <f>Papel!E37</f>
        <v>0</v>
      </c>
      <c r="F58" s="169">
        <f>Papel!G37</f>
        <v>402.6</v>
      </c>
      <c r="G58" s="169">
        <f>Papel!I37</f>
        <v>0</v>
      </c>
      <c r="H58" s="169">
        <f>Papel!K37</f>
        <v>277.35000000000002</v>
      </c>
      <c r="I58" s="169">
        <f>Papel!M37</f>
        <v>0</v>
      </c>
      <c r="J58" s="169">
        <f>Papel!O37</f>
        <v>0</v>
      </c>
      <c r="K58" s="169">
        <f>Papel!Q37</f>
        <v>402.6</v>
      </c>
      <c r="L58" s="169">
        <f>Papel!S37</f>
        <v>0</v>
      </c>
      <c r="M58" s="169">
        <f>Papel!U37</f>
        <v>0</v>
      </c>
      <c r="N58" s="169">
        <f>Papel!W37</f>
        <v>402.6</v>
      </c>
      <c r="O58" s="178">
        <f>Papel!Y37</f>
        <v>0</v>
      </c>
    </row>
    <row r="59" spans="1:15" s="141" customFormat="1">
      <c r="A59" s="569"/>
      <c r="B59" s="577" t="s">
        <v>11</v>
      </c>
      <c r="C59" s="578"/>
      <c r="D59" s="169">
        <f>Papel!C38</f>
        <v>100.65</v>
      </c>
      <c r="E59" s="169">
        <f>Papel!E38</f>
        <v>201.3</v>
      </c>
      <c r="F59" s="169">
        <f>Papel!G38</f>
        <v>301.95</v>
      </c>
      <c r="G59" s="169">
        <f>Papel!I38</f>
        <v>80.52</v>
      </c>
      <c r="H59" s="169">
        <f>Papel!K38</f>
        <v>277.35000000000002</v>
      </c>
      <c r="I59" s="169">
        <f>Papel!M38</f>
        <v>362.34</v>
      </c>
      <c r="J59" s="169">
        <f>Papel!O38</f>
        <v>201.3</v>
      </c>
      <c r="K59" s="169">
        <f>Papel!Q38</f>
        <v>402.6</v>
      </c>
      <c r="L59" s="169">
        <f>Papel!S38</f>
        <v>301.95</v>
      </c>
      <c r="M59" s="169">
        <f>Papel!U38</f>
        <v>261.69</v>
      </c>
      <c r="N59" s="169">
        <f>Papel!W38</f>
        <v>503.25</v>
      </c>
      <c r="O59" s="178">
        <f>Papel!Y38</f>
        <v>0</v>
      </c>
    </row>
    <row r="60" spans="1:15" s="141" customFormat="1">
      <c r="A60" s="569"/>
      <c r="B60" s="577" t="s">
        <v>12</v>
      </c>
      <c r="C60" s="578"/>
      <c r="D60" s="169">
        <f>Papel!C39</f>
        <v>402.6</v>
      </c>
      <c r="E60" s="169">
        <f>Papel!E39</f>
        <v>201.3</v>
      </c>
      <c r="F60" s="169">
        <f>Papel!G39</f>
        <v>301.95</v>
      </c>
      <c r="G60" s="169">
        <f>Papel!I39</f>
        <v>0</v>
      </c>
      <c r="H60" s="169">
        <f>Papel!K39</f>
        <v>739.6</v>
      </c>
      <c r="I60" s="169">
        <f>Papel!M39</f>
        <v>402.6</v>
      </c>
      <c r="J60" s="169">
        <f>Papel!O39</f>
        <v>0</v>
      </c>
      <c r="K60" s="169">
        <f>Papel!Q39</f>
        <v>402.6</v>
      </c>
      <c r="L60" s="169">
        <f>Papel!S39</f>
        <v>0</v>
      </c>
      <c r="M60" s="169">
        <f>Papel!U39</f>
        <v>402.6</v>
      </c>
      <c r="N60" s="169">
        <f>Papel!W39</f>
        <v>0</v>
      </c>
      <c r="O60" s="178">
        <f>Papel!Y39</f>
        <v>201.3</v>
      </c>
    </row>
    <row r="61" spans="1:15" s="141" customFormat="1">
      <c r="A61" s="569"/>
      <c r="B61" s="577" t="s">
        <v>13</v>
      </c>
      <c r="C61" s="578"/>
      <c r="D61" s="169">
        <f>Papel!C41</f>
        <v>201.3</v>
      </c>
      <c r="E61" s="169">
        <f>Papel!E41</f>
        <v>60.39</v>
      </c>
      <c r="F61" s="169">
        <f>Papel!G41</f>
        <v>60.39</v>
      </c>
      <c r="G61" s="169">
        <f>Papel!I41</f>
        <v>301.95</v>
      </c>
      <c r="H61" s="169">
        <f>Papel!K41</f>
        <v>221.88</v>
      </c>
      <c r="I61" s="169">
        <f>Papel!M41</f>
        <v>161.04</v>
      </c>
      <c r="J61" s="169">
        <f>Papel!O41</f>
        <v>201.3</v>
      </c>
      <c r="K61" s="169">
        <f>Papel!Q41</f>
        <v>140.91</v>
      </c>
      <c r="L61" s="169">
        <f>Papel!S41</f>
        <v>100.65</v>
      </c>
      <c r="M61" s="169">
        <f>Papel!U41</f>
        <v>281.82</v>
      </c>
      <c r="N61" s="169">
        <f>Papel!W41</f>
        <v>40.26</v>
      </c>
      <c r="O61" s="178">
        <f>Papel!Y41</f>
        <v>301.95</v>
      </c>
    </row>
    <row r="62" spans="1:15" s="141" customFormat="1">
      <c r="A62" s="569"/>
      <c r="B62" s="575" t="s">
        <v>14</v>
      </c>
      <c r="C62" s="576"/>
      <c r="D62" s="168">
        <f>Papel!C42</f>
        <v>0</v>
      </c>
      <c r="E62" s="168">
        <f>Papel!E42</f>
        <v>0</v>
      </c>
      <c r="F62" s="168">
        <f>Papel!G42</f>
        <v>0</v>
      </c>
      <c r="G62" s="168">
        <f>Papel!I42</f>
        <v>885.72</v>
      </c>
      <c r="H62" s="168">
        <f>Papel!K42</f>
        <v>805.19999999999993</v>
      </c>
      <c r="I62" s="168">
        <f>Papel!M42</f>
        <v>905.85</v>
      </c>
      <c r="J62" s="168">
        <f>Papel!O42</f>
        <v>1207.8</v>
      </c>
      <c r="K62" s="168">
        <f>Papel!Q42</f>
        <v>1187.67</v>
      </c>
      <c r="L62" s="168">
        <f>Papel!S42</f>
        <v>704.55</v>
      </c>
      <c r="M62" s="168">
        <f>Papel!U42</f>
        <v>704.55</v>
      </c>
      <c r="N62" s="168">
        <f>Papel!W42</f>
        <v>805.19999999999993</v>
      </c>
      <c r="O62" s="177">
        <f>Papel!Y42</f>
        <v>603.9</v>
      </c>
    </row>
    <row r="63" spans="1:15" s="141" customFormat="1">
      <c r="A63" s="569"/>
      <c r="B63" s="577" t="s">
        <v>17</v>
      </c>
      <c r="C63" s="578"/>
      <c r="D63" s="169">
        <f>Papel!C43</f>
        <v>0</v>
      </c>
      <c r="E63" s="169">
        <f>Papel!E43</f>
        <v>0</v>
      </c>
      <c r="F63" s="169">
        <f>Papel!G43</f>
        <v>0</v>
      </c>
      <c r="G63" s="169">
        <f>Papel!I43</f>
        <v>80.52</v>
      </c>
      <c r="H63" s="169">
        <f>Papel!K43</f>
        <v>60.39</v>
      </c>
      <c r="I63" s="169">
        <f>Papel!M43</f>
        <v>80.52</v>
      </c>
      <c r="J63" s="169">
        <f>Papel!O43</f>
        <v>80.52</v>
      </c>
      <c r="K63" s="169">
        <f>Papel!Q43</f>
        <v>60.39</v>
      </c>
      <c r="L63" s="169">
        <f>Papel!S43</f>
        <v>60.39</v>
      </c>
      <c r="M63" s="169">
        <f>Papel!U43</f>
        <v>60.39</v>
      </c>
      <c r="N63" s="169">
        <f>Papel!W43</f>
        <v>60.39</v>
      </c>
      <c r="O63" s="178">
        <f>Papel!Y43</f>
        <v>80.52</v>
      </c>
    </row>
    <row r="64" spans="1:15" s="141" customFormat="1">
      <c r="A64" s="569"/>
      <c r="B64" s="577" t="s">
        <v>18</v>
      </c>
      <c r="C64" s="578"/>
      <c r="D64" s="169">
        <f>Papel!C44</f>
        <v>0</v>
      </c>
      <c r="E64" s="169">
        <f>Papel!E44</f>
        <v>0</v>
      </c>
      <c r="F64" s="169">
        <f>Papel!G44</f>
        <v>0</v>
      </c>
      <c r="G64" s="169">
        <f>Papel!I44</f>
        <v>805.2</v>
      </c>
      <c r="H64" s="169">
        <f>Papel!K44</f>
        <v>744.81</v>
      </c>
      <c r="I64" s="169">
        <f>Papel!M44</f>
        <v>825.33</v>
      </c>
      <c r="J64" s="169">
        <f>Papel!O44</f>
        <v>1127.28</v>
      </c>
      <c r="K64" s="169">
        <f>Papel!Q44</f>
        <v>1127.28</v>
      </c>
      <c r="L64" s="169">
        <f>Papel!S44</f>
        <v>644.16</v>
      </c>
      <c r="M64" s="169">
        <f>Papel!U44</f>
        <v>644.16</v>
      </c>
      <c r="N64" s="169">
        <f>Papel!W44</f>
        <v>744.81</v>
      </c>
      <c r="O64" s="178">
        <f>Papel!Y44</f>
        <v>523.38</v>
      </c>
    </row>
    <row r="65" spans="1:15" s="141" customFormat="1">
      <c r="A65" s="569"/>
      <c r="B65" s="575" t="s">
        <v>15</v>
      </c>
      <c r="C65" s="576"/>
      <c r="D65" s="168">
        <f>Papel!C45</f>
        <v>40.24</v>
      </c>
      <c r="E65" s="168">
        <f>Papel!E45</f>
        <v>73.959999999999994</v>
      </c>
      <c r="F65" s="168">
        <f>Papel!G45</f>
        <v>60.36</v>
      </c>
      <c r="G65" s="168">
        <f>Papel!I45</f>
        <v>140.84</v>
      </c>
      <c r="H65" s="168">
        <f>Papel!K45</f>
        <v>60.36</v>
      </c>
      <c r="I65" s="168">
        <f>Papel!M45</f>
        <v>100.6</v>
      </c>
      <c r="J65" s="168">
        <f>Papel!O45</f>
        <v>100.6</v>
      </c>
      <c r="K65" s="168">
        <f>Papel!Q45</f>
        <v>60.36</v>
      </c>
      <c r="L65" s="168">
        <f>Papel!S45</f>
        <v>140.84</v>
      </c>
      <c r="M65" s="168">
        <f>Papel!U45</f>
        <v>221.32</v>
      </c>
      <c r="N65" s="168">
        <f>Papel!W45</f>
        <v>301.8</v>
      </c>
      <c r="O65" s="177">
        <f>Papel!Y45</f>
        <v>181.07999999999998</v>
      </c>
    </row>
    <row r="66" spans="1:15" s="141" customFormat="1">
      <c r="A66" s="569"/>
      <c r="B66" s="577" t="s">
        <v>17</v>
      </c>
      <c r="C66" s="578"/>
      <c r="D66" s="169">
        <f>Papel!C46</f>
        <v>0</v>
      </c>
      <c r="E66" s="169">
        <f>Papel!E46</f>
        <v>18.489999999999998</v>
      </c>
      <c r="F66" s="169">
        <f>Papel!G46</f>
        <v>0</v>
      </c>
      <c r="G66" s="169">
        <f>Papel!I46</f>
        <v>20.12</v>
      </c>
      <c r="H66" s="169">
        <f>Papel!K46</f>
        <v>40.24</v>
      </c>
      <c r="I66" s="169">
        <f>Papel!M46</f>
        <v>60.36</v>
      </c>
      <c r="J66" s="169">
        <f>Papel!O46</f>
        <v>0</v>
      </c>
      <c r="K66" s="169">
        <f>Papel!Q46</f>
        <v>20.12</v>
      </c>
      <c r="L66" s="169">
        <f>Papel!S46</f>
        <v>60.36</v>
      </c>
      <c r="M66" s="169">
        <f>Papel!U46</f>
        <v>120.72</v>
      </c>
      <c r="N66" s="169">
        <f>Papel!W46</f>
        <v>140.84</v>
      </c>
      <c r="O66" s="178">
        <f>Papel!Y46</f>
        <v>100.6</v>
      </c>
    </row>
    <row r="67" spans="1:15" s="141" customFormat="1" ht="15.75" thickBot="1">
      <c r="A67" s="570"/>
      <c r="B67" s="579" t="s">
        <v>16</v>
      </c>
      <c r="C67" s="580"/>
      <c r="D67" s="171">
        <f>Papel!C47</f>
        <v>40.24</v>
      </c>
      <c r="E67" s="171">
        <f>Papel!E47</f>
        <v>55.47</v>
      </c>
      <c r="F67" s="171">
        <f>Papel!G47</f>
        <v>60.36</v>
      </c>
      <c r="G67" s="171">
        <f>Papel!I47</f>
        <v>120.72</v>
      </c>
      <c r="H67" s="171">
        <f>Papel!K47</f>
        <v>20.12</v>
      </c>
      <c r="I67" s="171">
        <f>Papel!M47</f>
        <v>40.24</v>
      </c>
      <c r="J67" s="171">
        <f>Papel!O47</f>
        <v>100.6</v>
      </c>
      <c r="K67" s="171">
        <f>Papel!Q47</f>
        <v>40.24</v>
      </c>
      <c r="L67" s="171">
        <f>Papel!S47</f>
        <v>80.48</v>
      </c>
      <c r="M67" s="171">
        <f>Papel!U47</f>
        <v>100.6</v>
      </c>
      <c r="N67" s="171">
        <f>Papel!W47</f>
        <v>160.96</v>
      </c>
      <c r="O67" s="188">
        <f>Papel!Y47</f>
        <v>80.48</v>
      </c>
    </row>
    <row r="68" spans="1:15" s="143" customFormat="1">
      <c r="A68" s="568" t="s">
        <v>21</v>
      </c>
      <c r="B68" s="573" t="s">
        <v>226</v>
      </c>
      <c r="C68" s="574"/>
      <c r="D68" s="182">
        <f>D8+D38</f>
        <v>145</v>
      </c>
      <c r="E68" s="182">
        <f t="shared" ref="E68:O69" si="0">E8+E38</f>
        <v>137</v>
      </c>
      <c r="F68" s="182">
        <f t="shared" si="0"/>
        <v>217</v>
      </c>
      <c r="G68" s="182">
        <f t="shared" si="0"/>
        <v>128</v>
      </c>
      <c r="H68" s="182">
        <f t="shared" si="0"/>
        <v>240</v>
      </c>
      <c r="I68" s="182">
        <f t="shared" si="0"/>
        <v>138</v>
      </c>
      <c r="J68" s="182">
        <f t="shared" si="0"/>
        <v>141</v>
      </c>
      <c r="K68" s="182">
        <f t="shared" si="0"/>
        <v>216</v>
      </c>
      <c r="L68" s="182">
        <f t="shared" si="0"/>
        <v>105</v>
      </c>
      <c r="M68" s="182">
        <f t="shared" si="0"/>
        <v>170</v>
      </c>
      <c r="N68" s="182">
        <f t="shared" si="0"/>
        <v>157</v>
      </c>
      <c r="O68" s="183">
        <f t="shared" si="0"/>
        <v>102</v>
      </c>
    </row>
    <row r="69" spans="1:15" s="141" customFormat="1">
      <c r="A69" s="569"/>
      <c r="B69" s="575" t="s">
        <v>6</v>
      </c>
      <c r="C69" s="576"/>
      <c r="D69" s="167">
        <f>D9+D39</f>
        <v>85</v>
      </c>
      <c r="E69" s="167">
        <f t="shared" si="0"/>
        <v>79</v>
      </c>
      <c r="F69" s="167">
        <f t="shared" si="0"/>
        <v>135</v>
      </c>
      <c r="G69" s="167">
        <f t="shared" si="0"/>
        <v>64</v>
      </c>
      <c r="H69" s="167">
        <f t="shared" si="0"/>
        <v>183</v>
      </c>
      <c r="I69" s="167">
        <f t="shared" si="0"/>
        <v>80</v>
      </c>
      <c r="J69" s="167">
        <f t="shared" si="0"/>
        <v>66</v>
      </c>
      <c r="K69" s="167">
        <f t="shared" si="0"/>
        <v>144</v>
      </c>
      <c r="L69" s="167">
        <f t="shared" si="0"/>
        <v>54</v>
      </c>
      <c r="M69" s="167">
        <f t="shared" si="0"/>
        <v>100</v>
      </c>
      <c r="N69" s="167">
        <f t="shared" si="0"/>
        <v>77</v>
      </c>
      <c r="O69" s="172">
        <f t="shared" si="0"/>
        <v>46</v>
      </c>
    </row>
    <row r="70" spans="1:15" s="141" customFormat="1">
      <c r="A70" s="569"/>
      <c r="B70" s="577" t="s">
        <v>7</v>
      </c>
      <c r="C70" s="578"/>
      <c r="D70" s="170">
        <f t="shared" ref="D70:O70" si="1">D10+D40</f>
        <v>6</v>
      </c>
      <c r="E70" s="170">
        <f t="shared" si="1"/>
        <v>0</v>
      </c>
      <c r="F70" s="170">
        <f t="shared" si="1"/>
        <v>0</v>
      </c>
      <c r="G70" s="170">
        <f t="shared" si="1"/>
        <v>11</v>
      </c>
      <c r="H70" s="170">
        <f t="shared" si="1"/>
        <v>0</v>
      </c>
      <c r="I70" s="170">
        <f t="shared" si="1"/>
        <v>0</v>
      </c>
      <c r="J70" s="170">
        <f t="shared" si="1"/>
        <v>10</v>
      </c>
      <c r="K70" s="170">
        <f t="shared" si="1"/>
        <v>0</v>
      </c>
      <c r="L70" s="170">
        <f t="shared" si="1"/>
        <v>0</v>
      </c>
      <c r="M70" s="170">
        <f t="shared" si="1"/>
        <v>10</v>
      </c>
      <c r="N70" s="170">
        <f t="shared" si="1"/>
        <v>0</v>
      </c>
      <c r="O70" s="173">
        <f t="shared" si="1"/>
        <v>0</v>
      </c>
    </row>
    <row r="71" spans="1:15" s="141" customFormat="1">
      <c r="A71" s="569"/>
      <c r="B71" s="577" t="s">
        <v>8</v>
      </c>
      <c r="C71" s="578"/>
      <c r="D71" s="170">
        <f t="shared" ref="D71:O71" si="2">D11+D41</f>
        <v>19</v>
      </c>
      <c r="E71" s="170">
        <f t="shared" si="2"/>
        <v>43</v>
      </c>
      <c r="F71" s="170">
        <f t="shared" si="2"/>
        <v>27</v>
      </c>
      <c r="G71" s="170">
        <f t="shared" si="2"/>
        <v>10</v>
      </c>
      <c r="H71" s="170">
        <f t="shared" si="2"/>
        <v>50</v>
      </c>
      <c r="I71" s="170">
        <f t="shared" si="2"/>
        <v>34</v>
      </c>
      <c r="J71" s="170">
        <f t="shared" si="2"/>
        <v>17</v>
      </c>
      <c r="K71" s="170">
        <f t="shared" si="2"/>
        <v>42</v>
      </c>
      <c r="L71" s="170">
        <f t="shared" si="2"/>
        <v>30</v>
      </c>
      <c r="M71" s="170">
        <f t="shared" si="2"/>
        <v>24</v>
      </c>
      <c r="N71" s="170">
        <f t="shared" si="2"/>
        <v>27</v>
      </c>
      <c r="O71" s="173">
        <f t="shared" si="2"/>
        <v>9</v>
      </c>
    </row>
    <row r="72" spans="1:15" s="141" customFormat="1">
      <c r="A72" s="569"/>
      <c r="B72" s="577" t="s">
        <v>9</v>
      </c>
      <c r="C72" s="578"/>
      <c r="D72" s="170">
        <f t="shared" ref="D72:O72" si="3">D12+D42</f>
        <v>0</v>
      </c>
      <c r="E72" s="170">
        <f t="shared" si="3"/>
        <v>3</v>
      </c>
      <c r="F72" s="170">
        <f t="shared" si="3"/>
        <v>40</v>
      </c>
      <c r="G72" s="170">
        <f t="shared" si="3"/>
        <v>22</v>
      </c>
      <c r="H72" s="170">
        <f t="shared" si="3"/>
        <v>20</v>
      </c>
      <c r="I72" s="170">
        <f t="shared" si="3"/>
        <v>0</v>
      </c>
      <c r="J72" s="170">
        <f t="shared" si="3"/>
        <v>0</v>
      </c>
      <c r="K72" s="170">
        <f t="shared" si="3"/>
        <v>10</v>
      </c>
      <c r="L72" s="170">
        <f t="shared" si="3"/>
        <v>0</v>
      </c>
      <c r="M72" s="170">
        <f t="shared" si="3"/>
        <v>10</v>
      </c>
      <c r="N72" s="170">
        <f t="shared" si="3"/>
        <v>0</v>
      </c>
      <c r="O72" s="173">
        <f t="shared" si="3"/>
        <v>0</v>
      </c>
    </row>
    <row r="73" spans="1:15" s="141" customFormat="1">
      <c r="A73" s="569"/>
      <c r="B73" s="577" t="s">
        <v>10</v>
      </c>
      <c r="C73" s="578"/>
      <c r="D73" s="170">
        <f t="shared" ref="D73:O73" si="4">D13+D43</f>
        <v>20</v>
      </c>
      <c r="E73" s="170">
        <f t="shared" si="4"/>
        <v>0</v>
      </c>
      <c r="F73" s="170">
        <f t="shared" si="4"/>
        <v>20</v>
      </c>
      <c r="G73" s="170">
        <f t="shared" si="4"/>
        <v>0</v>
      </c>
      <c r="H73" s="170">
        <f t="shared" si="4"/>
        <v>19</v>
      </c>
      <c r="I73" s="170">
        <f t="shared" si="4"/>
        <v>0</v>
      </c>
      <c r="J73" s="170">
        <f t="shared" si="4"/>
        <v>0</v>
      </c>
      <c r="K73" s="170">
        <f t="shared" si="4"/>
        <v>24</v>
      </c>
      <c r="L73" s="170">
        <f t="shared" si="4"/>
        <v>0</v>
      </c>
      <c r="M73" s="170">
        <f t="shared" si="4"/>
        <v>0</v>
      </c>
      <c r="N73" s="170">
        <f t="shared" si="4"/>
        <v>20</v>
      </c>
      <c r="O73" s="173">
        <f t="shared" si="4"/>
        <v>0</v>
      </c>
    </row>
    <row r="74" spans="1:15" s="141" customFormat="1">
      <c r="A74" s="569"/>
      <c r="B74" s="577" t="s">
        <v>11</v>
      </c>
      <c r="C74" s="578"/>
      <c r="D74" s="170">
        <f t="shared" ref="D74:O74" si="5">D14+D44</f>
        <v>5</v>
      </c>
      <c r="E74" s="170">
        <f t="shared" si="5"/>
        <v>10</v>
      </c>
      <c r="F74" s="170">
        <f t="shared" si="5"/>
        <v>15</v>
      </c>
      <c r="G74" s="170">
        <f t="shared" si="5"/>
        <v>4</v>
      </c>
      <c r="H74" s="170">
        <f t="shared" si="5"/>
        <v>15</v>
      </c>
      <c r="I74" s="170">
        <f t="shared" si="5"/>
        <v>18</v>
      </c>
      <c r="J74" s="170">
        <f t="shared" si="5"/>
        <v>10</v>
      </c>
      <c r="K74" s="170">
        <f t="shared" si="5"/>
        <v>20</v>
      </c>
      <c r="L74" s="170">
        <f t="shared" si="5"/>
        <v>15</v>
      </c>
      <c r="M74" s="170">
        <f t="shared" si="5"/>
        <v>13</v>
      </c>
      <c r="N74" s="170">
        <f t="shared" si="5"/>
        <v>25</v>
      </c>
      <c r="O74" s="173">
        <f t="shared" si="5"/>
        <v>0</v>
      </c>
    </row>
    <row r="75" spans="1:15" s="141" customFormat="1">
      <c r="A75" s="569"/>
      <c r="B75" s="577" t="s">
        <v>12</v>
      </c>
      <c r="C75" s="578"/>
      <c r="D75" s="170">
        <f t="shared" ref="D75:O75" si="6">D15+D45</f>
        <v>20</v>
      </c>
      <c r="E75" s="170">
        <f t="shared" si="6"/>
        <v>10</v>
      </c>
      <c r="F75" s="170">
        <f t="shared" si="6"/>
        <v>15</v>
      </c>
      <c r="G75" s="170">
        <f t="shared" si="6"/>
        <v>0</v>
      </c>
      <c r="H75" s="170">
        <f t="shared" si="6"/>
        <v>40</v>
      </c>
      <c r="I75" s="170">
        <f t="shared" si="6"/>
        <v>20</v>
      </c>
      <c r="J75" s="170">
        <f t="shared" si="6"/>
        <v>0</v>
      </c>
      <c r="K75" s="170">
        <f t="shared" si="6"/>
        <v>20</v>
      </c>
      <c r="L75" s="170">
        <f t="shared" si="6"/>
        <v>0</v>
      </c>
      <c r="M75" s="170">
        <f t="shared" si="6"/>
        <v>20</v>
      </c>
      <c r="N75" s="170">
        <f t="shared" si="6"/>
        <v>0</v>
      </c>
      <c r="O75" s="173">
        <f t="shared" si="6"/>
        <v>10</v>
      </c>
    </row>
    <row r="76" spans="1:15" s="141" customFormat="1">
      <c r="A76" s="569"/>
      <c r="B76" s="577" t="s">
        <v>13</v>
      </c>
      <c r="C76" s="578"/>
      <c r="D76" s="170">
        <f t="shared" ref="D76:O76" si="7">D16+D46</f>
        <v>10</v>
      </c>
      <c r="E76" s="170">
        <f t="shared" si="7"/>
        <v>3</v>
      </c>
      <c r="F76" s="170">
        <f t="shared" si="7"/>
        <v>3</v>
      </c>
      <c r="G76" s="170">
        <f t="shared" si="7"/>
        <v>17</v>
      </c>
      <c r="H76" s="170">
        <f t="shared" si="7"/>
        <v>18</v>
      </c>
      <c r="I76" s="170">
        <f t="shared" si="7"/>
        <v>8</v>
      </c>
      <c r="J76" s="170">
        <f t="shared" si="7"/>
        <v>14</v>
      </c>
      <c r="K76" s="170">
        <f t="shared" si="7"/>
        <v>13</v>
      </c>
      <c r="L76" s="170">
        <f t="shared" si="7"/>
        <v>9</v>
      </c>
      <c r="M76" s="170">
        <f t="shared" si="7"/>
        <v>14</v>
      </c>
      <c r="N76" s="170">
        <f t="shared" si="7"/>
        <v>5</v>
      </c>
      <c r="O76" s="173">
        <f t="shared" si="7"/>
        <v>17</v>
      </c>
    </row>
    <row r="77" spans="1:15" s="141" customFormat="1">
      <c r="A77" s="569"/>
      <c r="B77" s="575" t="s">
        <v>14</v>
      </c>
      <c r="C77" s="576"/>
      <c r="D77" s="167">
        <f t="shared" ref="D77:O77" si="8">D17+D47</f>
        <v>50</v>
      </c>
      <c r="E77" s="167">
        <f t="shared" si="8"/>
        <v>45</v>
      </c>
      <c r="F77" s="167">
        <f t="shared" si="8"/>
        <v>65</v>
      </c>
      <c r="G77" s="167">
        <f t="shared" si="8"/>
        <v>44</v>
      </c>
      <c r="H77" s="167">
        <f t="shared" si="8"/>
        <v>40</v>
      </c>
      <c r="I77" s="167">
        <f t="shared" si="8"/>
        <v>45</v>
      </c>
      <c r="J77" s="167">
        <f t="shared" si="8"/>
        <v>60</v>
      </c>
      <c r="K77" s="167">
        <f t="shared" si="8"/>
        <v>59</v>
      </c>
      <c r="L77" s="167">
        <f t="shared" si="8"/>
        <v>35</v>
      </c>
      <c r="M77" s="167">
        <f t="shared" si="8"/>
        <v>45</v>
      </c>
      <c r="N77" s="167">
        <f t="shared" si="8"/>
        <v>50</v>
      </c>
      <c r="O77" s="172">
        <f t="shared" si="8"/>
        <v>30</v>
      </c>
    </row>
    <row r="78" spans="1:15" s="141" customFormat="1">
      <c r="A78" s="569"/>
      <c r="B78" s="577" t="s">
        <v>17</v>
      </c>
      <c r="C78" s="578"/>
      <c r="D78" s="170">
        <f t="shared" ref="D78:O78" si="9">D18+D48</f>
        <v>2</v>
      </c>
      <c r="E78" s="170">
        <f t="shared" si="9"/>
        <v>2</v>
      </c>
      <c r="F78" s="170">
        <f t="shared" si="9"/>
        <v>4</v>
      </c>
      <c r="G78" s="170">
        <f t="shared" si="9"/>
        <v>4</v>
      </c>
      <c r="H78" s="170">
        <f t="shared" si="9"/>
        <v>3</v>
      </c>
      <c r="I78" s="170">
        <f t="shared" si="9"/>
        <v>4</v>
      </c>
      <c r="J78" s="170">
        <f t="shared" si="9"/>
        <v>4</v>
      </c>
      <c r="K78" s="170">
        <f t="shared" si="9"/>
        <v>3</v>
      </c>
      <c r="L78" s="170">
        <f t="shared" si="9"/>
        <v>3</v>
      </c>
      <c r="M78" s="170">
        <f t="shared" si="9"/>
        <v>5</v>
      </c>
      <c r="N78" s="170">
        <f t="shared" si="9"/>
        <v>5</v>
      </c>
      <c r="O78" s="173">
        <f t="shared" si="9"/>
        <v>4</v>
      </c>
    </row>
    <row r="79" spans="1:15" s="141" customFormat="1">
      <c r="A79" s="569"/>
      <c r="B79" s="577" t="s">
        <v>18</v>
      </c>
      <c r="C79" s="578"/>
      <c r="D79" s="170">
        <f t="shared" ref="D79:O79" si="10">D19+D49</f>
        <v>48</v>
      </c>
      <c r="E79" s="170">
        <f t="shared" si="10"/>
        <v>43</v>
      </c>
      <c r="F79" s="170">
        <f t="shared" si="10"/>
        <v>61</v>
      </c>
      <c r="G79" s="170">
        <f t="shared" si="10"/>
        <v>40</v>
      </c>
      <c r="H79" s="170">
        <f t="shared" si="10"/>
        <v>37</v>
      </c>
      <c r="I79" s="170">
        <f t="shared" si="10"/>
        <v>41</v>
      </c>
      <c r="J79" s="170">
        <f t="shared" si="10"/>
        <v>56</v>
      </c>
      <c r="K79" s="170">
        <f t="shared" si="10"/>
        <v>56</v>
      </c>
      <c r="L79" s="170">
        <f t="shared" si="10"/>
        <v>32</v>
      </c>
      <c r="M79" s="170">
        <f t="shared" si="10"/>
        <v>40</v>
      </c>
      <c r="N79" s="170">
        <f t="shared" si="10"/>
        <v>45</v>
      </c>
      <c r="O79" s="173">
        <f t="shared" si="10"/>
        <v>26</v>
      </c>
    </row>
    <row r="80" spans="1:15" s="141" customFormat="1">
      <c r="A80" s="569"/>
      <c r="B80" s="575" t="s">
        <v>15</v>
      </c>
      <c r="C80" s="576"/>
      <c r="D80" s="167">
        <f t="shared" ref="D80:O80" si="11">D20+D50</f>
        <v>10</v>
      </c>
      <c r="E80" s="167">
        <f t="shared" si="11"/>
        <v>13</v>
      </c>
      <c r="F80" s="167">
        <f t="shared" si="11"/>
        <v>17</v>
      </c>
      <c r="G80" s="167">
        <f t="shared" si="11"/>
        <v>20</v>
      </c>
      <c r="H80" s="167">
        <f t="shared" si="11"/>
        <v>17</v>
      </c>
      <c r="I80" s="167">
        <f t="shared" si="11"/>
        <v>13</v>
      </c>
      <c r="J80" s="167">
        <f t="shared" si="11"/>
        <v>15</v>
      </c>
      <c r="K80" s="167">
        <f t="shared" si="11"/>
        <v>13</v>
      </c>
      <c r="L80" s="167">
        <f t="shared" si="11"/>
        <v>16</v>
      </c>
      <c r="M80" s="167">
        <f t="shared" si="11"/>
        <v>25</v>
      </c>
      <c r="N80" s="167">
        <f t="shared" si="11"/>
        <v>30</v>
      </c>
      <c r="O80" s="172">
        <f t="shared" si="11"/>
        <v>26</v>
      </c>
    </row>
    <row r="81" spans="1:15" s="141" customFormat="1">
      <c r="A81" s="569"/>
      <c r="B81" s="577" t="s">
        <v>17</v>
      </c>
      <c r="C81" s="578"/>
      <c r="D81" s="170">
        <f t="shared" ref="D81:O81" si="12">D21+D51</f>
        <v>5</v>
      </c>
      <c r="E81" s="170">
        <f t="shared" si="12"/>
        <v>8</v>
      </c>
      <c r="F81" s="170">
        <f t="shared" si="12"/>
        <v>7</v>
      </c>
      <c r="G81" s="170">
        <f t="shared" si="12"/>
        <v>7</v>
      </c>
      <c r="H81" s="170">
        <f t="shared" si="12"/>
        <v>12</v>
      </c>
      <c r="I81" s="170">
        <f t="shared" si="12"/>
        <v>5</v>
      </c>
      <c r="J81" s="170">
        <f t="shared" si="12"/>
        <v>7</v>
      </c>
      <c r="K81" s="170">
        <f t="shared" si="12"/>
        <v>7</v>
      </c>
      <c r="L81" s="170">
        <f t="shared" si="12"/>
        <v>6</v>
      </c>
      <c r="M81" s="170">
        <f t="shared" si="12"/>
        <v>11</v>
      </c>
      <c r="N81" s="170">
        <f t="shared" si="12"/>
        <v>14</v>
      </c>
      <c r="O81" s="173">
        <f t="shared" si="12"/>
        <v>13</v>
      </c>
    </row>
    <row r="82" spans="1:15" s="141" customFormat="1" ht="15.75" thickBot="1">
      <c r="A82" s="570"/>
      <c r="B82" s="579" t="s">
        <v>16</v>
      </c>
      <c r="C82" s="580"/>
      <c r="D82" s="191">
        <f t="shared" ref="D82:O82" si="13">D22+D52</f>
        <v>5</v>
      </c>
      <c r="E82" s="191">
        <f t="shared" si="13"/>
        <v>5</v>
      </c>
      <c r="F82" s="191">
        <f t="shared" si="13"/>
        <v>10</v>
      </c>
      <c r="G82" s="191">
        <f t="shared" si="13"/>
        <v>13</v>
      </c>
      <c r="H82" s="191">
        <f t="shared" si="13"/>
        <v>5</v>
      </c>
      <c r="I82" s="191">
        <f t="shared" si="13"/>
        <v>8</v>
      </c>
      <c r="J82" s="191">
        <f t="shared" si="13"/>
        <v>8</v>
      </c>
      <c r="K82" s="191">
        <f t="shared" si="13"/>
        <v>6</v>
      </c>
      <c r="L82" s="191">
        <f t="shared" si="13"/>
        <v>10</v>
      </c>
      <c r="M82" s="191">
        <f t="shared" si="13"/>
        <v>14</v>
      </c>
      <c r="N82" s="191">
        <f t="shared" si="13"/>
        <v>16</v>
      </c>
      <c r="O82" s="192">
        <f t="shared" si="13"/>
        <v>13</v>
      </c>
    </row>
    <row r="83" spans="1:15" s="143" customFormat="1">
      <c r="A83" s="568" t="s">
        <v>55</v>
      </c>
      <c r="B83" s="584" t="s">
        <v>227</v>
      </c>
      <c r="C83" s="584"/>
      <c r="D83" s="198">
        <f t="shared" ref="D83:O83" si="14">D86+D89+D90+D91</f>
        <v>66742</v>
      </c>
      <c r="E83" s="198">
        <f t="shared" si="14"/>
        <v>77342</v>
      </c>
      <c r="F83" s="198">
        <f t="shared" si="14"/>
        <v>67734</v>
      </c>
      <c r="G83" s="198">
        <f t="shared" si="14"/>
        <v>79572</v>
      </c>
      <c r="H83" s="198">
        <f t="shared" si="14"/>
        <v>84606</v>
      </c>
      <c r="I83" s="198">
        <f t="shared" si="14"/>
        <v>91744</v>
      </c>
      <c r="J83" s="198">
        <f t="shared" si="14"/>
        <v>79684</v>
      </c>
      <c r="K83" s="198">
        <f t="shared" si="14"/>
        <v>79300</v>
      </c>
      <c r="L83" s="198">
        <f t="shared" si="14"/>
        <v>93739</v>
      </c>
      <c r="M83" s="198">
        <f t="shared" si="14"/>
        <v>76987</v>
      </c>
      <c r="N83" s="198">
        <f t="shared" si="14"/>
        <v>74980</v>
      </c>
      <c r="O83" s="199">
        <f t="shared" si="14"/>
        <v>75625</v>
      </c>
    </row>
    <row r="84" spans="1:15" s="141" customFormat="1">
      <c r="A84" s="569"/>
      <c r="B84" s="571" t="s">
        <v>255</v>
      </c>
      <c r="C84" s="185" t="s">
        <v>60</v>
      </c>
      <c r="D84" s="193">
        <f>Energia!D12</f>
        <v>26551</v>
      </c>
      <c r="E84" s="193">
        <f>Energia!E12</f>
        <v>30343</v>
      </c>
      <c r="F84" s="193">
        <f>Energia!F12</f>
        <v>26345</v>
      </c>
      <c r="G84" s="193">
        <f>Energia!G12</f>
        <v>30839</v>
      </c>
      <c r="H84" s="193">
        <f>Energia!H12</f>
        <v>34321</v>
      </c>
      <c r="I84" s="193">
        <f>Energia!I12</f>
        <v>37987</v>
      </c>
      <c r="J84" s="193">
        <f>Energia!J12</f>
        <v>34053</v>
      </c>
      <c r="K84" s="193" t="e">
        <f>Energia!#REF!</f>
        <v>#REF!</v>
      </c>
      <c r="L84" s="193">
        <f>Energia!L12</f>
        <v>37706</v>
      </c>
      <c r="M84" s="193">
        <f>Energia!M12</f>
        <v>29912</v>
      </c>
      <c r="N84" s="193">
        <f>Energia!N12</f>
        <v>30582</v>
      </c>
      <c r="O84" s="194">
        <f>Energia!O12</f>
        <v>32782</v>
      </c>
    </row>
    <row r="85" spans="1:15" s="141" customFormat="1">
      <c r="A85" s="569"/>
      <c r="B85" s="572"/>
      <c r="C85" s="185" t="s">
        <v>61</v>
      </c>
      <c r="D85" s="193">
        <f>Energia!D13</f>
        <v>1718</v>
      </c>
      <c r="E85" s="193">
        <f>Energia!E13</f>
        <v>1641</v>
      </c>
      <c r="F85" s="193">
        <f>Energia!F13</f>
        <v>1622</v>
      </c>
      <c r="G85" s="193">
        <f>Energia!G13</f>
        <v>1721</v>
      </c>
      <c r="H85" s="193">
        <f>Energia!H13</f>
        <v>1672</v>
      </c>
      <c r="I85" s="193">
        <f>Energia!I13</f>
        <v>2444</v>
      </c>
      <c r="J85" s="193">
        <f>Energia!J13</f>
        <v>2216</v>
      </c>
      <c r="K85" s="193" t="e">
        <f>Energia!#REF!</f>
        <v>#REF!</v>
      </c>
      <c r="L85" s="193">
        <f>Energia!L13</f>
        <v>1565</v>
      </c>
      <c r="M85" s="193">
        <f>Energia!M13</f>
        <v>1360</v>
      </c>
      <c r="N85" s="193">
        <f>Energia!N13</f>
        <v>1759</v>
      </c>
      <c r="O85" s="194">
        <f>Energia!O13</f>
        <v>1634</v>
      </c>
    </row>
    <row r="86" spans="1:15" s="141" customFormat="1">
      <c r="A86" s="569"/>
      <c r="B86" s="572"/>
      <c r="C86" s="185" t="s">
        <v>146</v>
      </c>
      <c r="D86" s="193">
        <f>Energia!D14</f>
        <v>28269</v>
      </c>
      <c r="E86" s="193">
        <f>Energia!E14</f>
        <v>31984</v>
      </c>
      <c r="F86" s="193">
        <f>Energia!F14</f>
        <v>27967</v>
      </c>
      <c r="G86" s="193">
        <f>Energia!G14</f>
        <v>32560</v>
      </c>
      <c r="H86" s="193">
        <f>Energia!H14</f>
        <v>35993</v>
      </c>
      <c r="I86" s="193">
        <f>Energia!I14</f>
        <v>40431</v>
      </c>
      <c r="J86" s="193">
        <f>Energia!J14</f>
        <v>36269</v>
      </c>
      <c r="K86" s="193">
        <f>Energia!K14</f>
        <v>35113</v>
      </c>
      <c r="L86" s="193">
        <f>Energia!L14</f>
        <v>39271</v>
      </c>
      <c r="M86" s="193">
        <f>Energia!M14</f>
        <v>31272</v>
      </c>
      <c r="N86" s="193">
        <f>Energia!N14</f>
        <v>32341</v>
      </c>
      <c r="O86" s="194">
        <f>Energia!O14</f>
        <v>34416</v>
      </c>
    </row>
    <row r="87" spans="1:15" s="141" customFormat="1">
      <c r="A87" s="569"/>
      <c r="B87" s="571" t="s">
        <v>256</v>
      </c>
      <c r="C87" s="185" t="s">
        <v>60</v>
      </c>
      <c r="D87" s="193">
        <f>Energia!D18</f>
        <v>20225</v>
      </c>
      <c r="E87" s="193">
        <f>Energia!E18</f>
        <v>24909</v>
      </c>
      <c r="F87" s="193">
        <f>Energia!F18</f>
        <v>19586</v>
      </c>
      <c r="G87" s="193">
        <f>Energia!G18</f>
        <v>24859</v>
      </c>
      <c r="H87" s="193">
        <f>Energia!H18</f>
        <v>25834</v>
      </c>
      <c r="I87" s="193">
        <f>Energia!I18</f>
        <v>27596</v>
      </c>
      <c r="J87" s="193">
        <f>Energia!J18</f>
        <v>22334</v>
      </c>
      <c r="K87" s="193" t="e">
        <f>Energia!#REF!</f>
        <v>#REF!</v>
      </c>
      <c r="L87" s="193">
        <f>Energia!L18</f>
        <v>32076</v>
      </c>
      <c r="M87" s="193">
        <f>Energia!M18</f>
        <v>22629</v>
      </c>
      <c r="N87" s="193">
        <f>Energia!N18</f>
        <v>22098</v>
      </c>
      <c r="O87" s="194">
        <f>Energia!O18</f>
        <v>21447</v>
      </c>
    </row>
    <row r="88" spans="1:15" s="141" customFormat="1">
      <c r="A88" s="569"/>
      <c r="B88" s="572"/>
      <c r="C88" s="185" t="s">
        <v>61</v>
      </c>
      <c r="D88" s="193">
        <f>Energia!D19</f>
        <v>1392</v>
      </c>
      <c r="E88" s="193">
        <f>Energia!E19</f>
        <v>1730</v>
      </c>
      <c r="F88" s="193">
        <f>Energia!F19</f>
        <v>1391</v>
      </c>
      <c r="G88" s="193">
        <f>Energia!G19</f>
        <v>1764</v>
      </c>
      <c r="H88" s="193">
        <f>Energia!H19</f>
        <v>1697</v>
      </c>
      <c r="I88" s="193">
        <f>Energia!I19</f>
        <v>1921</v>
      </c>
      <c r="J88" s="193">
        <f>Energia!J19</f>
        <v>996</v>
      </c>
      <c r="K88" s="193">
        <f>Energia!K19</f>
        <v>1025</v>
      </c>
      <c r="L88" s="193">
        <f>Energia!K18</f>
        <v>24890</v>
      </c>
      <c r="M88" s="193">
        <f>Energia!M19</f>
        <v>983</v>
      </c>
      <c r="N88" s="193">
        <f>Energia!N19</f>
        <v>877</v>
      </c>
      <c r="O88" s="194">
        <f>Energia!O19</f>
        <v>921</v>
      </c>
    </row>
    <row r="89" spans="1:15" s="141" customFormat="1">
      <c r="A89" s="569"/>
      <c r="B89" s="572"/>
      <c r="C89" s="185" t="s">
        <v>146</v>
      </c>
      <c r="D89" s="193">
        <f>Energia!D20</f>
        <v>21617</v>
      </c>
      <c r="E89" s="193">
        <f>Energia!E20</f>
        <v>26639</v>
      </c>
      <c r="F89" s="193">
        <f>Energia!F20</f>
        <v>20977</v>
      </c>
      <c r="G89" s="193">
        <f>Energia!G20</f>
        <v>26623</v>
      </c>
      <c r="H89" s="193">
        <f>Energia!H20</f>
        <v>27531</v>
      </c>
      <c r="I89" s="193">
        <f>Energia!I20</f>
        <v>29517</v>
      </c>
      <c r="J89" s="193">
        <f>Energia!J20</f>
        <v>23330</v>
      </c>
      <c r="K89" s="193">
        <f>Energia!K20</f>
        <v>25915</v>
      </c>
      <c r="L89" s="193">
        <f>Energia!L20</f>
        <v>33480</v>
      </c>
      <c r="M89" s="193">
        <f>Energia!M20</f>
        <v>23612</v>
      </c>
      <c r="N89" s="193">
        <f>Energia!N20</f>
        <v>22975</v>
      </c>
      <c r="O89" s="194">
        <f>Energia!O20</f>
        <v>22368</v>
      </c>
    </row>
    <row r="90" spans="1:15" s="141" customFormat="1">
      <c r="A90" s="569"/>
      <c r="B90" s="309" t="s">
        <v>14</v>
      </c>
      <c r="C90" s="185" t="s">
        <v>146</v>
      </c>
      <c r="D90" s="193">
        <f>Energia!D24</f>
        <v>9086</v>
      </c>
      <c r="E90" s="193">
        <f>Energia!E24</f>
        <v>9404</v>
      </c>
      <c r="F90" s="193">
        <f>Energia!F24</f>
        <v>10045</v>
      </c>
      <c r="G90" s="193">
        <f>Energia!G24</f>
        <v>11389</v>
      </c>
      <c r="H90" s="193">
        <f>Energia!H24</f>
        <v>11550</v>
      </c>
      <c r="I90" s="193">
        <f>Energia!I24</f>
        <v>12560</v>
      </c>
      <c r="J90" s="193">
        <f>Energia!J24</f>
        <v>11666</v>
      </c>
      <c r="K90" s="193">
        <f>Energia!K24</f>
        <v>10415</v>
      </c>
      <c r="L90" s="193">
        <f>Energia!L24</f>
        <v>11483</v>
      </c>
      <c r="M90" s="193">
        <f>Energia!M24</f>
        <v>12029</v>
      </c>
      <c r="N90" s="193">
        <f>Energia!N24</f>
        <v>10322</v>
      </c>
      <c r="O90" s="194">
        <f>Energia!O24</f>
        <v>10241</v>
      </c>
    </row>
    <row r="91" spans="1:15" s="141" customFormat="1" ht="15.75" thickBot="1">
      <c r="A91" s="585"/>
      <c r="B91" s="310" t="s">
        <v>15</v>
      </c>
      <c r="C91" s="195" t="s">
        <v>146</v>
      </c>
      <c r="D91" s="196">
        <f>Energia!D28</f>
        <v>7770</v>
      </c>
      <c r="E91" s="196">
        <f>Energia!E28</f>
        <v>9315</v>
      </c>
      <c r="F91" s="196">
        <f>Energia!F28</f>
        <v>8745</v>
      </c>
      <c r="G91" s="196">
        <f>Energia!G28</f>
        <v>9000</v>
      </c>
      <c r="H91" s="196">
        <f>Energia!H28</f>
        <v>9532</v>
      </c>
      <c r="I91" s="196">
        <f>Energia!I28</f>
        <v>9236</v>
      </c>
      <c r="J91" s="196">
        <f>Energia!J28</f>
        <v>8419</v>
      </c>
      <c r="K91" s="196">
        <f>Energia!K28</f>
        <v>7857</v>
      </c>
      <c r="L91" s="196">
        <f>Energia!L28</f>
        <v>9505</v>
      </c>
      <c r="M91" s="196">
        <f>Energia!M28</f>
        <v>10074</v>
      </c>
      <c r="N91" s="196">
        <f>Energia!N28</f>
        <v>9342</v>
      </c>
      <c r="O91" s="197">
        <f>Energia!O28</f>
        <v>8600</v>
      </c>
    </row>
    <row r="92" spans="1:15">
      <c r="A92" s="581" t="s">
        <v>56</v>
      </c>
      <c r="B92" s="573" t="s">
        <v>228</v>
      </c>
      <c r="C92" s="574"/>
      <c r="D92" s="337">
        <f>D83/11506.09</f>
        <v>5.8005803882987186</v>
      </c>
      <c r="E92" s="337">
        <f>E83/11506.09</f>
        <v>6.7218316561055929</v>
      </c>
      <c r="F92" s="337">
        <f>F83/11506.09</f>
        <v>5.8867956012859279</v>
      </c>
      <c r="G92" s="337">
        <f>G83/11506.09</f>
        <v>6.9156420643328884</v>
      </c>
      <c r="H92" s="337">
        <f>H83/11506.09</f>
        <v>7.3531495060441907</v>
      </c>
      <c r="I92" s="337">
        <f t="shared" ref="I92:O92" si="15">I83/11506.09</f>
        <v>7.9735166333654615</v>
      </c>
      <c r="J92" s="337">
        <f t="shared" si="15"/>
        <v>6.9253760399927344</v>
      </c>
      <c r="K92" s="337">
        <f t="shared" si="15"/>
        <v>6.8920024091589758</v>
      </c>
      <c r="L92" s="337">
        <f t="shared" si="15"/>
        <v>8.1469030748064721</v>
      </c>
      <c r="M92" s="337">
        <f t="shared" si="15"/>
        <v>6.6909784296837591</v>
      </c>
      <c r="N92" s="337">
        <f t="shared" si="15"/>
        <v>6.5165490622791928</v>
      </c>
      <c r="O92" s="337">
        <f t="shared" si="15"/>
        <v>6.5726063328202713</v>
      </c>
    </row>
    <row r="93" spans="1:15" s="141" customFormat="1">
      <c r="A93" s="582"/>
      <c r="B93" s="571" t="s">
        <v>255</v>
      </c>
      <c r="C93" s="185" t="s">
        <v>60</v>
      </c>
      <c r="D93" s="262">
        <f t="shared" ref="D93:H95" si="16">D84/6506.01</f>
        <v>4.0809958791947754</v>
      </c>
      <c r="E93" s="262">
        <f t="shared" si="16"/>
        <v>4.6638415864715856</v>
      </c>
      <c r="F93" s="262">
        <f t="shared" si="16"/>
        <v>4.0493328476285768</v>
      </c>
      <c r="G93" s="262">
        <f t="shared" si="16"/>
        <v>4.7400787886892273</v>
      </c>
      <c r="H93" s="262">
        <f t="shared" si="16"/>
        <v>5.2752762445800112</v>
      </c>
      <c r="I93" s="262">
        <f t="shared" ref="I93:O93" si="17">I84/6506.01</f>
        <v>5.8387552432289525</v>
      </c>
      <c r="J93" s="262">
        <f t="shared" si="17"/>
        <v>5.2340835627366076</v>
      </c>
      <c r="K93" s="262" t="e">
        <f t="shared" si="17"/>
        <v>#REF!</v>
      </c>
      <c r="L93" s="262">
        <f t="shared" si="17"/>
        <v>5.7955644089080707</v>
      </c>
      <c r="M93" s="262">
        <f t="shared" si="17"/>
        <v>4.5975951466413365</v>
      </c>
      <c r="N93" s="262">
        <f t="shared" si="17"/>
        <v>4.7005768512498438</v>
      </c>
      <c r="O93" s="262">
        <f t="shared" si="17"/>
        <v>5.0387257320539005</v>
      </c>
    </row>
    <row r="94" spans="1:15" s="141" customFormat="1">
      <c r="A94" s="582"/>
      <c r="B94" s="572"/>
      <c r="C94" s="185" t="s">
        <v>61</v>
      </c>
      <c r="D94" s="262">
        <f t="shared" si="16"/>
        <v>0.26406353510062236</v>
      </c>
      <c r="E94" s="262">
        <f t="shared" si="16"/>
        <v>0.25222832427248038</v>
      </c>
      <c r="F94" s="262">
        <f t="shared" si="16"/>
        <v>0.24930794757462715</v>
      </c>
      <c r="G94" s="262">
        <f t="shared" si="16"/>
        <v>0.2645246472108097</v>
      </c>
      <c r="H94" s="262">
        <f t="shared" si="16"/>
        <v>0.25699314941108298</v>
      </c>
      <c r="I94" s="262">
        <f t="shared" ref="I94:O94" si="18">I85/6506.01</f>
        <v>0.37565266576596101</v>
      </c>
      <c r="J94" s="262">
        <f t="shared" si="18"/>
        <v>0.34060814539172241</v>
      </c>
      <c r="K94" s="262" t="e">
        <f t="shared" si="18"/>
        <v>#REF!</v>
      </c>
      <c r="L94" s="262">
        <f t="shared" si="18"/>
        <v>0.24054681748106749</v>
      </c>
      <c r="M94" s="262">
        <f t="shared" si="18"/>
        <v>0.2090374899515986</v>
      </c>
      <c r="N94" s="262">
        <f t="shared" si="18"/>
        <v>0.27036540060651609</v>
      </c>
      <c r="O94" s="262">
        <f t="shared" si="18"/>
        <v>0.25115239601537653</v>
      </c>
    </row>
    <row r="95" spans="1:15" s="141" customFormat="1">
      <c r="A95" s="582"/>
      <c r="B95" s="572"/>
      <c r="C95" s="185" t="s">
        <v>146</v>
      </c>
      <c r="D95" s="262">
        <f t="shared" si="16"/>
        <v>4.3450594142953971</v>
      </c>
      <c r="E95" s="262">
        <f t="shared" si="16"/>
        <v>4.9160699107440653</v>
      </c>
      <c r="F95" s="262">
        <f t="shared" si="16"/>
        <v>4.2986407952032044</v>
      </c>
      <c r="G95" s="262">
        <f t="shared" si="16"/>
        <v>5.0046034359000373</v>
      </c>
      <c r="H95" s="262">
        <f t="shared" si="16"/>
        <v>5.5322693939910943</v>
      </c>
      <c r="I95" s="262">
        <f t="shared" ref="I95:O95" si="19">I86/6506.01</f>
        <v>6.2144079089949136</v>
      </c>
      <c r="J95" s="262">
        <f t="shared" si="19"/>
        <v>5.5746917081283307</v>
      </c>
      <c r="K95" s="262">
        <f t="shared" si="19"/>
        <v>5.3970098416694716</v>
      </c>
      <c r="L95" s="262">
        <f t="shared" si="19"/>
        <v>6.0361112263891386</v>
      </c>
      <c r="M95" s="262">
        <f t="shared" si="19"/>
        <v>4.8066326365929344</v>
      </c>
      <c r="N95" s="262">
        <f t="shared" si="19"/>
        <v>4.9709422518563606</v>
      </c>
      <c r="O95" s="262">
        <f t="shared" si="19"/>
        <v>5.2898781280692777</v>
      </c>
    </row>
    <row r="96" spans="1:15" s="141" customFormat="1">
      <c r="A96" s="582"/>
      <c r="B96" s="571" t="s">
        <v>256</v>
      </c>
      <c r="C96" s="185" t="s">
        <v>60</v>
      </c>
      <c r="D96" s="262">
        <f t="shared" ref="D96:H98" si="20">D87/3598.17</f>
        <v>5.6209128529224577</v>
      </c>
      <c r="E96" s="262">
        <f t="shared" si="20"/>
        <v>6.922685698563436</v>
      </c>
      <c r="F96" s="262">
        <f t="shared" si="20"/>
        <v>5.4433225778659704</v>
      </c>
      <c r="G96" s="262">
        <f t="shared" si="20"/>
        <v>6.9087897458986092</v>
      </c>
      <c r="H96" s="262">
        <f t="shared" si="20"/>
        <v>7.1797608228627325</v>
      </c>
      <c r="I96" s="262">
        <f t="shared" ref="I96:O96" si="21">I87/3598.17</f>
        <v>7.6694541947712311</v>
      </c>
      <c r="J96" s="262">
        <f t="shared" si="21"/>
        <v>6.2070441363248543</v>
      </c>
      <c r="K96" s="262" t="e">
        <f t="shared" si="21"/>
        <v>#REF!</v>
      </c>
      <c r="L96" s="262">
        <f t="shared" si="21"/>
        <v>8.9145315535397156</v>
      </c>
      <c r="M96" s="262">
        <f t="shared" si="21"/>
        <v>6.2890302570473322</v>
      </c>
      <c r="N96" s="262">
        <f t="shared" si="21"/>
        <v>6.1414552397468709</v>
      </c>
      <c r="O96" s="262">
        <f t="shared" si="21"/>
        <v>5.9605299360508255</v>
      </c>
    </row>
    <row r="97" spans="1:15" s="141" customFormat="1">
      <c r="A97" s="582"/>
      <c r="B97" s="572"/>
      <c r="C97" s="185" t="s">
        <v>61</v>
      </c>
      <c r="D97" s="262">
        <f t="shared" si="20"/>
        <v>0.38686332218877928</v>
      </c>
      <c r="E97" s="262">
        <f t="shared" si="20"/>
        <v>0.48079996220300875</v>
      </c>
      <c r="F97" s="262">
        <f t="shared" si="20"/>
        <v>0.38658540313548273</v>
      </c>
      <c r="G97" s="262">
        <f t="shared" si="20"/>
        <v>0.49024921001509097</v>
      </c>
      <c r="H97" s="262">
        <f t="shared" si="20"/>
        <v>0.47162863344422301</v>
      </c>
      <c r="I97" s="262">
        <f t="shared" ref="I97:O97" si="22">I88/3598.17</f>
        <v>0.53388250138264726</v>
      </c>
      <c r="J97" s="262">
        <f t="shared" si="22"/>
        <v>0.27680737708335068</v>
      </c>
      <c r="K97" s="262">
        <f t="shared" si="22"/>
        <v>0.28486702962895027</v>
      </c>
      <c r="L97" s="262">
        <f t="shared" si="22"/>
        <v>6.9174052365508016</v>
      </c>
      <c r="M97" s="262">
        <f t="shared" si="22"/>
        <v>0.27319442939049571</v>
      </c>
      <c r="N97" s="262">
        <f t="shared" si="22"/>
        <v>0.24373500974106282</v>
      </c>
      <c r="O97" s="262">
        <f t="shared" si="22"/>
        <v>0.25596344808611043</v>
      </c>
    </row>
    <row r="98" spans="1:15" s="141" customFormat="1">
      <c r="A98" s="582"/>
      <c r="B98" s="572"/>
      <c r="C98" s="185" t="s">
        <v>146</v>
      </c>
      <c r="D98" s="262">
        <f t="shared" si="20"/>
        <v>6.0077761751112373</v>
      </c>
      <c r="E98" s="262">
        <f t="shared" si="20"/>
        <v>7.403485660766445</v>
      </c>
      <c r="F98" s="262">
        <f t="shared" si="20"/>
        <v>5.8299079810014538</v>
      </c>
      <c r="G98" s="262">
        <f t="shared" si="20"/>
        <v>7.3990389559137002</v>
      </c>
      <c r="H98" s="262">
        <f t="shared" si="20"/>
        <v>7.6513894563069558</v>
      </c>
      <c r="I98" s="262">
        <f t="shared" ref="I98:O98" si="23">I89/3598.17</f>
        <v>8.2033366961538778</v>
      </c>
      <c r="J98" s="262">
        <f t="shared" si="23"/>
        <v>6.4838515134082044</v>
      </c>
      <c r="K98" s="262">
        <f t="shared" si="23"/>
        <v>7.2022722661797527</v>
      </c>
      <c r="L98" s="262">
        <f t="shared" si="23"/>
        <v>9.3047299043680542</v>
      </c>
      <c r="M98" s="262">
        <f t="shared" si="23"/>
        <v>6.562224686437828</v>
      </c>
      <c r="N98" s="262">
        <f t="shared" si="23"/>
        <v>6.385190249487934</v>
      </c>
      <c r="O98" s="262">
        <f t="shared" si="23"/>
        <v>6.2164933841369363</v>
      </c>
    </row>
    <row r="99" spans="1:15" s="141" customFormat="1">
      <c r="A99" s="582"/>
      <c r="B99" s="309" t="s">
        <v>14</v>
      </c>
      <c r="C99" s="185" t="s">
        <v>146</v>
      </c>
      <c r="D99" s="262">
        <f>D90/706.98</f>
        <v>12.851848708591474</v>
      </c>
      <c r="E99" s="262">
        <f>E90/706.98</f>
        <v>13.301649268720473</v>
      </c>
      <c r="F99" s="262">
        <f>F90/706.98</f>
        <v>14.208322724829557</v>
      </c>
      <c r="G99" s="262">
        <f>G90/706.98</f>
        <v>16.109366601601177</v>
      </c>
      <c r="H99" s="262">
        <f>H90/706.98</f>
        <v>16.337095816006109</v>
      </c>
      <c r="I99" s="262">
        <f t="shared" ref="I99:O99" si="24">I90/706.98</f>
        <v>17.765707657925258</v>
      </c>
      <c r="J99" s="262">
        <f t="shared" si="24"/>
        <v>16.501174007751281</v>
      </c>
      <c r="K99" s="262">
        <f t="shared" si="24"/>
        <v>14.731675577809838</v>
      </c>
      <c r="L99" s="262">
        <f t="shared" si="24"/>
        <v>16.242326515601572</v>
      </c>
      <c r="M99" s="262">
        <f t="shared" si="24"/>
        <v>17.014625590540042</v>
      </c>
      <c r="N99" s="262">
        <f t="shared" si="24"/>
        <v>14.600130130979659</v>
      </c>
      <c r="O99" s="262">
        <f t="shared" si="24"/>
        <v>14.485558290192085</v>
      </c>
    </row>
    <row r="100" spans="1:15" s="141" customFormat="1" ht="15.75" thickBot="1">
      <c r="A100" s="583"/>
      <c r="B100" s="310" t="s">
        <v>15</v>
      </c>
      <c r="C100" s="195" t="s">
        <v>146</v>
      </c>
      <c r="D100" s="264">
        <f>D91/694.93</f>
        <v>11.180982257205763</v>
      </c>
      <c r="E100" s="264">
        <f>E91/694.93</f>
        <v>13.404227763947448</v>
      </c>
      <c r="F100" s="264">
        <f>F91/694.93</f>
        <v>12.584001266314594</v>
      </c>
      <c r="G100" s="264">
        <f>G91/694.93</f>
        <v>12.950944699466135</v>
      </c>
      <c r="H100" s="264">
        <f>H91/694.93</f>
        <v>13.716489430590132</v>
      </c>
      <c r="I100" s="264">
        <f t="shared" ref="I100:O100" si="25">I91/694.93</f>
        <v>13.290547249363247</v>
      </c>
      <c r="J100" s="264">
        <f t="shared" si="25"/>
        <v>12.11488926942282</v>
      </c>
      <c r="K100" s="264">
        <f t="shared" si="25"/>
        <v>11.306174722633935</v>
      </c>
      <c r="L100" s="264">
        <f t="shared" si="25"/>
        <v>13.677636596491734</v>
      </c>
      <c r="M100" s="264">
        <f t="shared" si="25"/>
        <v>14.496424100269094</v>
      </c>
      <c r="N100" s="264">
        <f t="shared" si="25"/>
        <v>13.443080598045848</v>
      </c>
      <c r="O100" s="264">
        <f t="shared" si="25"/>
        <v>12.375347157267639</v>
      </c>
    </row>
    <row r="101" spans="1:15" s="143" customFormat="1">
      <c r="A101" s="581" t="s">
        <v>58</v>
      </c>
      <c r="B101" s="573" t="s">
        <v>229</v>
      </c>
      <c r="C101" s="574"/>
      <c r="D101" s="260">
        <f t="shared" ref="D101:O101" si="26">D104+D107+D108+D109</f>
        <v>61318.39</v>
      </c>
      <c r="E101" s="260">
        <f t="shared" si="26"/>
        <v>66458.209999999992</v>
      </c>
      <c r="F101" s="260">
        <f t="shared" si="26"/>
        <v>61886.799999999996</v>
      </c>
      <c r="G101" s="260">
        <f t="shared" si="26"/>
        <v>68537.87</v>
      </c>
      <c r="H101" s="260">
        <f t="shared" si="26"/>
        <v>72246.39</v>
      </c>
      <c r="I101" s="260">
        <f t="shared" si="26"/>
        <v>78269.039999999994</v>
      </c>
      <c r="J101" s="260">
        <f t="shared" si="26"/>
        <v>70128.100000000006</v>
      </c>
      <c r="K101" s="260">
        <f t="shared" si="26"/>
        <v>70047.509999999995</v>
      </c>
      <c r="L101" s="260">
        <f t="shared" si="26"/>
        <v>78168.62</v>
      </c>
      <c r="M101" s="260">
        <f t="shared" si="26"/>
        <v>66973.739999999991</v>
      </c>
      <c r="N101" s="260">
        <f t="shared" si="26"/>
        <v>68683.3</v>
      </c>
      <c r="O101" s="261">
        <f t="shared" si="26"/>
        <v>67103.100000000006</v>
      </c>
    </row>
    <row r="102" spans="1:15" s="141" customFormat="1">
      <c r="A102" s="582"/>
      <c r="B102" s="571" t="s">
        <v>255</v>
      </c>
      <c r="C102" s="185" t="s">
        <v>60</v>
      </c>
      <c r="D102" s="262">
        <f>Energia!D15</f>
        <v>11602.06</v>
      </c>
      <c r="E102" s="262">
        <f>Energia!E15</f>
        <v>13065.63</v>
      </c>
      <c r="F102" s="262">
        <f>Energia!F15</f>
        <v>11429.72</v>
      </c>
      <c r="G102" s="262">
        <f>Energia!G15</f>
        <v>13297.89</v>
      </c>
      <c r="H102" s="262">
        <f>Energia!H15</f>
        <v>14957.02</v>
      </c>
      <c r="I102" s="262">
        <f>Energia!I15</f>
        <v>16597.55</v>
      </c>
      <c r="J102" s="262">
        <f>Energia!J15</f>
        <v>14074.7</v>
      </c>
      <c r="K102" s="262">
        <f>Energia!K13</f>
        <v>1571</v>
      </c>
      <c r="L102" s="262">
        <f>Energia!K12</f>
        <v>33542</v>
      </c>
      <c r="M102" s="262">
        <f>Energia!M15</f>
        <v>11872</v>
      </c>
      <c r="N102" s="262">
        <f>Energia!N15</f>
        <v>12408.73</v>
      </c>
      <c r="O102" s="263">
        <f>Energia!O15</f>
        <v>13321.78</v>
      </c>
    </row>
    <row r="103" spans="1:15" s="141" customFormat="1">
      <c r="A103" s="582"/>
      <c r="B103" s="572"/>
      <c r="C103" s="185" t="s">
        <v>61</v>
      </c>
      <c r="D103" s="262">
        <f>Energia!D16</f>
        <v>5562</v>
      </c>
      <c r="E103" s="262">
        <f>Energia!E16</f>
        <v>5235.21</v>
      </c>
      <c r="F103" s="262">
        <f>Energia!F16</f>
        <v>5213.66</v>
      </c>
      <c r="G103" s="262">
        <f>Energia!G16</f>
        <v>5498.16</v>
      </c>
      <c r="H103" s="262">
        <f>Energia!H16</f>
        <v>5398.53</v>
      </c>
      <c r="I103" s="262">
        <f>Energia!I16</f>
        <v>7911.6</v>
      </c>
      <c r="J103" s="262">
        <f>Energia!J16</f>
        <v>7494.45</v>
      </c>
      <c r="K103" s="262">
        <f>Energia!K16</f>
        <v>5400.05</v>
      </c>
      <c r="L103" s="262">
        <f>Energia!K15</f>
        <v>13663.06</v>
      </c>
      <c r="M103" s="262">
        <f>Energia!M16</f>
        <v>4554.91</v>
      </c>
      <c r="N103" s="262">
        <f>Energia!N16</f>
        <v>6022.68</v>
      </c>
      <c r="O103" s="263">
        <f>Energia!O16</f>
        <v>5603.26</v>
      </c>
    </row>
    <row r="104" spans="1:15" s="141" customFormat="1">
      <c r="A104" s="582"/>
      <c r="B104" s="572"/>
      <c r="C104" s="185" t="s">
        <v>257</v>
      </c>
      <c r="D104" s="262">
        <f>Energia!D17</f>
        <v>24106.86</v>
      </c>
      <c r="E104" s="262">
        <f>Energia!E17</f>
        <v>25151.119999999999</v>
      </c>
      <c r="F104" s="262">
        <f>Energia!F17</f>
        <v>23544.39</v>
      </c>
      <c r="G104" s="262">
        <f>Energia!G17</f>
        <v>25658.12</v>
      </c>
      <c r="H104" s="262">
        <f>Energia!H17</f>
        <v>27730.79</v>
      </c>
      <c r="I104" s="262">
        <f>Energia!I17</f>
        <v>31587.66</v>
      </c>
      <c r="J104" s="262">
        <f>Energia!J17</f>
        <v>29665.69</v>
      </c>
      <c r="K104" s="262">
        <f>Energia!K17</f>
        <v>28483.48</v>
      </c>
      <c r="L104" s="262">
        <f>Energia!L17</f>
        <v>29910.1</v>
      </c>
      <c r="M104" s="262">
        <f>Energia!M17</f>
        <v>24633.4</v>
      </c>
      <c r="N104" s="262">
        <f>Energia!N17</f>
        <v>27718.19</v>
      </c>
      <c r="O104" s="263">
        <f>Energia!O17</f>
        <v>27338.39</v>
      </c>
    </row>
    <row r="105" spans="1:15" s="141" customFormat="1">
      <c r="A105" s="582"/>
      <c r="B105" s="571" t="s">
        <v>256</v>
      </c>
      <c r="C105" s="185" t="s">
        <v>60</v>
      </c>
      <c r="D105" s="262">
        <f>Energia!D21</f>
        <v>8837.77</v>
      </c>
      <c r="E105" s="262">
        <f>Energia!E21</f>
        <v>10725.76</v>
      </c>
      <c r="F105" s="262">
        <f>Energia!F21</f>
        <v>8497.34</v>
      </c>
      <c r="G105" s="262">
        <f>Energia!G21</f>
        <v>10719.29</v>
      </c>
      <c r="H105" s="262">
        <f>Energia!H21</f>
        <v>11258.41</v>
      </c>
      <c r="I105" s="262">
        <f>Energia!I21</f>
        <v>12057.44</v>
      </c>
      <c r="J105" s="262">
        <f>Energia!J21</f>
        <v>9231.0300000000007</v>
      </c>
      <c r="K105" s="262">
        <f>Energia!K21</f>
        <v>10138.73</v>
      </c>
      <c r="L105" s="262">
        <f>Energia!L21</f>
        <v>12801.65</v>
      </c>
      <c r="M105" s="262">
        <f>Energia!M21</f>
        <v>8981.39</v>
      </c>
      <c r="N105" s="262">
        <f>Energia!N21</f>
        <v>8966.32</v>
      </c>
      <c r="O105" s="263">
        <f>Energia!O21</f>
        <v>8715.52</v>
      </c>
    </row>
    <row r="106" spans="1:15" s="141" customFormat="1">
      <c r="A106" s="582"/>
      <c r="B106" s="572"/>
      <c r="C106" s="185" t="s">
        <v>61</v>
      </c>
      <c r="D106" s="262">
        <f>Energia!D22</f>
        <v>4509.58</v>
      </c>
      <c r="E106" s="262">
        <f>Energia!E22</f>
        <v>5519.15</v>
      </c>
      <c r="F106" s="262">
        <f>Energia!F22</f>
        <v>4471.1400000000003</v>
      </c>
      <c r="G106" s="262">
        <f>Energia!G22</f>
        <v>5635.53</v>
      </c>
      <c r="H106" s="262">
        <f>Energia!H22</f>
        <v>5459.88</v>
      </c>
      <c r="I106" s="262">
        <f>Energia!I22</f>
        <v>6218.57</v>
      </c>
      <c r="J106" s="262">
        <f>Energia!J22</f>
        <v>3368.44</v>
      </c>
      <c r="K106" s="262">
        <f>Energia!K22</f>
        <v>3523.26</v>
      </c>
      <c r="L106" s="262">
        <f>Energia!L22</f>
        <v>4728.41</v>
      </c>
      <c r="M106" s="262">
        <f>Energia!M22</f>
        <v>3292.26</v>
      </c>
      <c r="N106" s="262">
        <f>Energia!N22</f>
        <v>3002.78</v>
      </c>
      <c r="O106" s="263">
        <f>Energia!O22</f>
        <v>3158.26</v>
      </c>
    </row>
    <row r="107" spans="1:15" s="141" customFormat="1">
      <c r="A107" s="582"/>
      <c r="B107" s="572"/>
      <c r="C107" s="185" t="s">
        <v>257</v>
      </c>
      <c r="D107" s="262">
        <f>Energia!D23</f>
        <v>22535.29</v>
      </c>
      <c r="E107" s="262">
        <f>Energia!E23</f>
        <v>25255.61</v>
      </c>
      <c r="F107" s="262">
        <f>Energia!F23</f>
        <v>22102.73</v>
      </c>
      <c r="G107" s="262">
        <f>Energia!G23</f>
        <v>25376.48</v>
      </c>
      <c r="H107" s="262">
        <f>Energia!H23</f>
        <v>26132.39</v>
      </c>
      <c r="I107" s="262">
        <f>Energia!I23</f>
        <v>27475.68</v>
      </c>
      <c r="J107" s="262">
        <f>Energia!J23</f>
        <v>22735.62</v>
      </c>
      <c r="K107" s="262">
        <f>Energia!K23</f>
        <v>24947.63</v>
      </c>
      <c r="L107" s="262">
        <f>Energia!L23</f>
        <v>29060.39</v>
      </c>
      <c r="M107" s="262">
        <f>Energia!M23</f>
        <v>22497.27</v>
      </c>
      <c r="N107" s="262">
        <f>Energia!N23</f>
        <v>23146.53</v>
      </c>
      <c r="O107" s="263">
        <f>Energia!O23</f>
        <v>22423.94</v>
      </c>
    </row>
    <row r="108" spans="1:15" s="141" customFormat="1">
      <c r="A108" s="582"/>
      <c r="B108" s="309" t="s">
        <v>14</v>
      </c>
      <c r="C108" s="185" t="s">
        <v>257</v>
      </c>
      <c r="D108" s="262">
        <f>Energia!D25</f>
        <v>7955.42</v>
      </c>
      <c r="E108" s="262">
        <f>Energia!E25</f>
        <v>8111.82</v>
      </c>
      <c r="F108" s="262">
        <f>Energia!F25</f>
        <v>8729.6</v>
      </c>
      <c r="G108" s="262">
        <f>Energia!G25</f>
        <v>9821.2999999999993</v>
      </c>
      <c r="H108" s="262">
        <f>Energia!H25</f>
        <v>10088.02</v>
      </c>
      <c r="I108" s="262">
        <f>Energia!I25</f>
        <v>11132.96</v>
      </c>
      <c r="J108" s="262">
        <f>Energia!J25</f>
        <v>10310.08</v>
      </c>
      <c r="K108" s="262">
        <f>Energia!K25</f>
        <v>9452.3799999999992</v>
      </c>
      <c r="L108" s="262">
        <f>Energia!L25</f>
        <v>10549.1</v>
      </c>
      <c r="M108" s="262">
        <f>Energia!M25</f>
        <v>10928.73</v>
      </c>
      <c r="N108" s="262">
        <f>Energia!N25</f>
        <v>9321.9699999999993</v>
      </c>
      <c r="O108" s="263">
        <f>Energia!O25</f>
        <v>9557.89</v>
      </c>
    </row>
    <row r="109" spans="1:15" s="141" customFormat="1" ht="15.75" thickBot="1">
      <c r="A109" s="583"/>
      <c r="B109" s="310" t="s">
        <v>15</v>
      </c>
      <c r="C109" s="195" t="s">
        <v>257</v>
      </c>
      <c r="D109" s="264">
        <f>Energia!D29</f>
        <v>6720.82</v>
      </c>
      <c r="E109" s="264">
        <f>Energia!E29</f>
        <v>7939.66</v>
      </c>
      <c r="F109" s="264">
        <f>Energia!F29</f>
        <v>7510.08</v>
      </c>
      <c r="G109" s="264">
        <f>Energia!G29</f>
        <v>7681.97</v>
      </c>
      <c r="H109" s="264">
        <f>Energia!H29</f>
        <v>8295.19</v>
      </c>
      <c r="I109" s="264">
        <f>Energia!I29</f>
        <v>8072.74</v>
      </c>
      <c r="J109" s="264">
        <f>Energia!J29</f>
        <v>7416.71</v>
      </c>
      <c r="K109" s="264">
        <f>Energia!K29</f>
        <v>7164.02</v>
      </c>
      <c r="L109" s="264">
        <f>Energia!L29</f>
        <v>8649.0300000000007</v>
      </c>
      <c r="M109" s="264">
        <f>Energia!M29</f>
        <v>8914.34</v>
      </c>
      <c r="N109" s="264">
        <f>Energia!N29</f>
        <v>8496.61</v>
      </c>
      <c r="O109" s="265">
        <f>Energia!O29</f>
        <v>7782.88</v>
      </c>
    </row>
    <row r="110" spans="1:15" s="143" customFormat="1">
      <c r="A110" s="581" t="s">
        <v>59</v>
      </c>
      <c r="B110" s="573" t="s">
        <v>230</v>
      </c>
      <c r="C110" s="574"/>
      <c r="D110" s="266">
        <f>D101/11506.09</f>
        <v>5.3292117478656955</v>
      </c>
      <c r="E110" s="266">
        <f t="shared" ref="E110:O110" si="27">E101/11506.09</f>
        <v>5.7759160583656124</v>
      </c>
      <c r="F110" s="266">
        <f t="shared" si="27"/>
        <v>5.3786125434443841</v>
      </c>
      <c r="G110" s="266">
        <f t="shared" si="27"/>
        <v>5.9566603424795037</v>
      </c>
      <c r="H110" s="266">
        <f t="shared" si="27"/>
        <v>6.278969658676405</v>
      </c>
      <c r="I110" s="266">
        <f t="shared" si="27"/>
        <v>6.8024011632100905</v>
      </c>
      <c r="J110" s="266">
        <f t="shared" si="27"/>
        <v>6.094868022064837</v>
      </c>
      <c r="K110" s="266">
        <f t="shared" si="27"/>
        <v>6.0878639051145953</v>
      </c>
      <c r="L110" s="266">
        <f t="shared" si="27"/>
        <v>6.7936736111050751</v>
      </c>
      <c r="M110" s="266">
        <f t="shared" si="27"/>
        <v>5.820721026864903</v>
      </c>
      <c r="N110" s="266">
        <f t="shared" si="27"/>
        <v>5.9692997360528208</v>
      </c>
      <c r="O110" s="266">
        <f t="shared" si="27"/>
        <v>5.8319637687520265</v>
      </c>
    </row>
    <row r="111" spans="1:15" s="141" customFormat="1">
      <c r="A111" s="582"/>
      <c r="B111" s="571" t="s">
        <v>255</v>
      </c>
      <c r="C111" s="185" t="s">
        <v>60</v>
      </c>
      <c r="D111" s="258">
        <f>D102/6506.01</f>
        <v>1.7832834563734146</v>
      </c>
      <c r="E111" s="258">
        <f t="shared" ref="E111:O111" si="28">E102/6506.01</f>
        <v>2.0082400734090475</v>
      </c>
      <c r="F111" s="258">
        <f t="shared" si="28"/>
        <v>1.7567941026835185</v>
      </c>
      <c r="G111" s="258">
        <f t="shared" si="28"/>
        <v>2.0439393729797524</v>
      </c>
      <c r="H111" s="258">
        <f t="shared" si="28"/>
        <v>2.2989543514381316</v>
      </c>
      <c r="I111" s="258">
        <f t="shared" si="28"/>
        <v>2.5511104348133493</v>
      </c>
      <c r="J111" s="258">
        <f t="shared" si="28"/>
        <v>2.1633382057512978</v>
      </c>
      <c r="K111" s="258">
        <f t="shared" si="28"/>
        <v>0.24146904170144221</v>
      </c>
      <c r="L111" s="258">
        <f t="shared" si="28"/>
        <v>5.1555407999680298</v>
      </c>
      <c r="M111" s="258">
        <f t="shared" si="28"/>
        <v>1.8247743240480725</v>
      </c>
      <c r="N111" s="258">
        <f t="shared" si="28"/>
        <v>1.9072718916816911</v>
      </c>
      <c r="O111" s="258">
        <f t="shared" si="28"/>
        <v>2.0476113624172112</v>
      </c>
    </row>
    <row r="112" spans="1:15" s="141" customFormat="1">
      <c r="A112" s="582"/>
      <c r="B112" s="572"/>
      <c r="C112" s="185" t="s">
        <v>61</v>
      </c>
      <c r="D112" s="258">
        <f>D103/6506.01</f>
        <v>0.85490185228734661</v>
      </c>
      <c r="E112" s="258">
        <f t="shared" ref="E112:O112" si="29">E103/6506.01</f>
        <v>0.8046729101246386</v>
      </c>
      <c r="F112" s="258">
        <f t="shared" si="29"/>
        <v>0.80136058813312605</v>
      </c>
      <c r="G112" s="258">
        <f t="shared" si="29"/>
        <v>0.84508938658255972</v>
      </c>
      <c r="H112" s="258">
        <f t="shared" si="29"/>
        <v>0.8297758534032379</v>
      </c>
      <c r="I112" s="258">
        <f t="shared" si="29"/>
        <v>1.2160448569860791</v>
      </c>
      <c r="J112" s="258">
        <f t="shared" si="29"/>
        <v>1.1519272180645279</v>
      </c>
      <c r="K112" s="258">
        <f t="shared" si="29"/>
        <v>0.83000948353906623</v>
      </c>
      <c r="L112" s="258">
        <f t="shared" si="29"/>
        <v>2.1000674760721241</v>
      </c>
      <c r="M112" s="258">
        <f t="shared" si="29"/>
        <v>0.7001080539378205</v>
      </c>
      <c r="N112" s="258">
        <f t="shared" si="29"/>
        <v>0.92571022792771607</v>
      </c>
      <c r="O112" s="258">
        <f t="shared" si="29"/>
        <v>0.86124368084279002</v>
      </c>
    </row>
    <row r="113" spans="1:15" s="141" customFormat="1">
      <c r="A113" s="582"/>
      <c r="B113" s="572"/>
      <c r="C113" s="185" t="s">
        <v>257</v>
      </c>
      <c r="D113" s="258">
        <f>D104/6506.01</f>
        <v>3.705321694863672</v>
      </c>
      <c r="E113" s="258">
        <f t="shared" ref="E113:O113" si="30">E104/6506.01</f>
        <v>3.8658286722584192</v>
      </c>
      <c r="F113" s="258">
        <f t="shared" si="30"/>
        <v>3.6188677853246456</v>
      </c>
      <c r="G113" s="258">
        <f t="shared" si="30"/>
        <v>3.9437566188800814</v>
      </c>
      <c r="H113" s="258">
        <f t="shared" si="30"/>
        <v>4.2623343646874199</v>
      </c>
      <c r="I113" s="258">
        <f t="shared" si="30"/>
        <v>4.8551508528268474</v>
      </c>
      <c r="J113" s="258">
        <f t="shared" si="30"/>
        <v>4.559736305354587</v>
      </c>
      <c r="K113" s="258">
        <f t="shared" si="30"/>
        <v>4.3780258560930587</v>
      </c>
      <c r="L113" s="258">
        <f t="shared" si="30"/>
        <v>4.5973031089715501</v>
      </c>
      <c r="M113" s="258">
        <f t="shared" si="30"/>
        <v>3.7862530183630212</v>
      </c>
      <c r="N113" s="258">
        <f t="shared" si="30"/>
        <v>4.2603976938246326</v>
      </c>
      <c r="O113" s="258">
        <f t="shared" si="30"/>
        <v>4.2020209006749143</v>
      </c>
    </row>
    <row r="114" spans="1:15" s="141" customFormat="1">
      <c r="A114" s="582"/>
      <c r="B114" s="571" t="s">
        <v>256</v>
      </c>
      <c r="C114" s="185" t="s">
        <v>60</v>
      </c>
      <c r="D114" s="258">
        <f>D105/3598.17</f>
        <v>2.4561846716525344</v>
      </c>
      <c r="E114" s="258">
        <f t="shared" ref="E114:O114" si="31">E105/3598.17</f>
        <v>2.9808930650858629</v>
      </c>
      <c r="F114" s="258">
        <f t="shared" si="31"/>
        <v>2.3615726883387946</v>
      </c>
      <c r="G114" s="258">
        <f t="shared" si="31"/>
        <v>2.9790949288110347</v>
      </c>
      <c r="H114" s="258">
        <f t="shared" si="31"/>
        <v>3.1289266488242635</v>
      </c>
      <c r="I114" s="258">
        <f t="shared" si="31"/>
        <v>3.3509923099797954</v>
      </c>
      <c r="J114" s="258">
        <f t="shared" si="31"/>
        <v>2.5654791185519308</v>
      </c>
      <c r="K114" s="258">
        <f t="shared" si="31"/>
        <v>2.8177462432291969</v>
      </c>
      <c r="L114" s="258">
        <f t="shared" si="31"/>
        <v>3.557822448633611</v>
      </c>
      <c r="M114" s="258">
        <f t="shared" si="31"/>
        <v>2.4960994060869828</v>
      </c>
      <c r="N114" s="258">
        <f t="shared" si="31"/>
        <v>2.491911165953804</v>
      </c>
      <c r="O114" s="258">
        <f t="shared" si="31"/>
        <v>2.4222090673870329</v>
      </c>
    </row>
    <row r="115" spans="1:15" s="141" customFormat="1">
      <c r="A115" s="582"/>
      <c r="B115" s="572"/>
      <c r="C115" s="185" t="s">
        <v>61</v>
      </c>
      <c r="D115" s="258">
        <f>D106/3598.17</f>
        <v>1.2532982043649965</v>
      </c>
      <c r="E115" s="258">
        <f t="shared" ref="E115:O115" si="32">E106/3598.17</f>
        <v>1.5338769430015813</v>
      </c>
      <c r="F115" s="258">
        <f t="shared" si="32"/>
        <v>1.2426149959562778</v>
      </c>
      <c r="G115" s="258">
        <f t="shared" si="32"/>
        <v>1.5662211624242321</v>
      </c>
      <c r="H115" s="258">
        <f t="shared" si="32"/>
        <v>1.5174046807126955</v>
      </c>
      <c r="I115" s="258">
        <f t="shared" si="32"/>
        <v>1.7282590872582451</v>
      </c>
      <c r="J115" s="258">
        <f t="shared" si="32"/>
        <v>0.9361536558861866</v>
      </c>
      <c r="K115" s="258">
        <f t="shared" si="32"/>
        <v>0.97918108371755641</v>
      </c>
      <c r="L115" s="258">
        <f t="shared" si="32"/>
        <v>1.3141152307978778</v>
      </c>
      <c r="M115" s="258">
        <f t="shared" si="32"/>
        <v>0.91498178240605643</v>
      </c>
      <c r="N115" s="258">
        <f t="shared" si="32"/>
        <v>0.83452977485777491</v>
      </c>
      <c r="O115" s="258">
        <f t="shared" si="32"/>
        <v>0.8777406292643205</v>
      </c>
    </row>
    <row r="116" spans="1:15" s="141" customFormat="1">
      <c r="A116" s="582"/>
      <c r="B116" s="572"/>
      <c r="C116" s="185" t="s">
        <v>257</v>
      </c>
      <c r="D116" s="258">
        <f>D107/3598.17</f>
        <v>6.2629864625629139</v>
      </c>
      <c r="E116" s="258">
        <f t="shared" ref="E116:O116" si="33">E107/3598.17</f>
        <v>7.0190152216265487</v>
      </c>
      <c r="F116" s="258">
        <f t="shared" si="33"/>
        <v>6.1427697968689641</v>
      </c>
      <c r="G116" s="258">
        <f t="shared" si="33"/>
        <v>7.0526072975985015</v>
      </c>
      <c r="H116" s="258">
        <f t="shared" si="33"/>
        <v>7.2626890891758862</v>
      </c>
      <c r="I116" s="258">
        <f t="shared" si="33"/>
        <v>7.6360149742785914</v>
      </c>
      <c r="J116" s="258">
        <f t="shared" si="33"/>
        <v>6.3186619865098086</v>
      </c>
      <c r="K116" s="258">
        <f t="shared" si="33"/>
        <v>6.933421711592282</v>
      </c>
      <c r="L116" s="258">
        <f t="shared" si="33"/>
        <v>8.0764360772281467</v>
      </c>
      <c r="M116" s="258">
        <f t="shared" si="33"/>
        <v>6.2524199801565796</v>
      </c>
      <c r="N116" s="258">
        <f t="shared" si="33"/>
        <v>6.4328617046998886</v>
      </c>
      <c r="O116" s="258">
        <f t="shared" si="33"/>
        <v>6.2320401759783444</v>
      </c>
    </row>
    <row r="117" spans="1:15" s="141" customFormat="1">
      <c r="A117" s="582"/>
      <c r="B117" s="309" t="s">
        <v>14</v>
      </c>
      <c r="C117" s="185" t="s">
        <v>257</v>
      </c>
      <c r="D117" s="258">
        <f>D108/706.98</f>
        <v>11.252680415287561</v>
      </c>
      <c r="E117" s="258">
        <f t="shared" ref="E117:O117" si="34">E108/706.98</f>
        <v>11.473903080709496</v>
      </c>
      <c r="F117" s="258">
        <f t="shared" si="34"/>
        <v>12.347732609126142</v>
      </c>
      <c r="G117" s="258">
        <f t="shared" si="34"/>
        <v>13.891906418852017</v>
      </c>
      <c r="H117" s="258">
        <f t="shared" si="34"/>
        <v>14.269173102492291</v>
      </c>
      <c r="I117" s="258">
        <f t="shared" si="34"/>
        <v>15.747206427338821</v>
      </c>
      <c r="J117" s="258">
        <f t="shared" si="34"/>
        <v>14.583269682310673</v>
      </c>
      <c r="K117" s="258">
        <f t="shared" si="34"/>
        <v>13.370081190415569</v>
      </c>
      <c r="L117" s="258">
        <f t="shared" si="34"/>
        <v>14.921355625335936</v>
      </c>
      <c r="M117" s="258">
        <f t="shared" si="34"/>
        <v>15.458329797165407</v>
      </c>
      <c r="N117" s="258">
        <f t="shared" si="34"/>
        <v>13.185620526747574</v>
      </c>
      <c r="O117" s="258">
        <f t="shared" si="34"/>
        <v>13.519321621545163</v>
      </c>
    </row>
    <row r="118" spans="1:15" s="141" customFormat="1" ht="15.75" thickBot="1">
      <c r="A118" s="583"/>
      <c r="B118" s="310" t="s">
        <v>15</v>
      </c>
      <c r="C118" s="195" t="s">
        <v>257</v>
      </c>
      <c r="D118" s="259">
        <f>D109/694.93</f>
        <v>9.6712186838962193</v>
      </c>
      <c r="E118" s="259">
        <f t="shared" ref="E118:O118" si="35">E109/694.93</f>
        <v>11.425121954729255</v>
      </c>
      <c r="F118" s="259">
        <f t="shared" si="35"/>
        <v>10.80695897428518</v>
      </c>
      <c r="G118" s="259">
        <f t="shared" si="35"/>
        <v>11.054307628106429</v>
      </c>
      <c r="H118" s="259">
        <f t="shared" si="35"/>
        <v>11.936727440173833</v>
      </c>
      <c r="I118" s="259">
        <f t="shared" si="35"/>
        <v>11.616623257018693</v>
      </c>
      <c r="J118" s="259">
        <f t="shared" si="35"/>
        <v>10.672600117997497</v>
      </c>
      <c r="K118" s="259">
        <f t="shared" si="35"/>
        <v>10.308980760652153</v>
      </c>
      <c r="L118" s="259">
        <f t="shared" si="35"/>
        <v>12.445901026002621</v>
      </c>
      <c r="M118" s="259">
        <f t="shared" si="35"/>
        <v>12.827680485804327</v>
      </c>
      <c r="N118" s="259">
        <f t="shared" si="35"/>
        <v>12.226569582547885</v>
      </c>
      <c r="O118" s="259">
        <f t="shared" si="35"/>
        <v>11.199516498064554</v>
      </c>
    </row>
    <row r="119" spans="1:15" s="143" customFormat="1" ht="31.5" customHeight="1">
      <c r="A119" s="581" t="s">
        <v>63</v>
      </c>
      <c r="B119" s="573" t="s">
        <v>231</v>
      </c>
      <c r="C119" s="574"/>
      <c r="D119" s="338">
        <f>AVERAGE(D120:D121)</f>
        <v>0.69141414141414148</v>
      </c>
      <c r="E119" s="338">
        <f t="shared" ref="E119:O119" si="36">AVERAGE(E120:E121)</f>
        <v>0.7426767676767676</v>
      </c>
      <c r="F119" s="338">
        <f t="shared" si="36"/>
        <v>0.66035353535353536</v>
      </c>
      <c r="G119" s="338">
        <f t="shared" si="36"/>
        <v>0.69873737373737366</v>
      </c>
      <c r="H119" s="338">
        <f t="shared" si="36"/>
        <v>0.83383838383838382</v>
      </c>
      <c r="I119" s="338">
        <f t="shared" si="36"/>
        <v>0.77651515151515149</v>
      </c>
      <c r="J119" s="338">
        <f t="shared" si="36"/>
        <v>0.68712121212121213</v>
      </c>
      <c r="K119" s="338">
        <f t="shared" si="36"/>
        <v>0.74318181818181817</v>
      </c>
      <c r="L119" s="338">
        <f t="shared" si="36"/>
        <v>0.89520202020202022</v>
      </c>
      <c r="M119" s="338">
        <f t="shared" si="36"/>
        <v>0.7439393939393939</v>
      </c>
      <c r="N119" s="338">
        <f t="shared" si="36"/>
        <v>0.75378787878787878</v>
      </c>
      <c r="O119" s="338">
        <f t="shared" si="36"/>
        <v>0.78585858585858581</v>
      </c>
    </row>
    <row r="120" spans="1:15" s="141" customFormat="1">
      <c r="A120" s="582"/>
      <c r="B120" s="575" t="s">
        <v>258</v>
      </c>
      <c r="C120" s="576"/>
      <c r="D120" s="267">
        <f>Energia!D36/Energia!D37</f>
        <v>0.75555555555555554</v>
      </c>
      <c r="E120" s="267">
        <f>Energia!E36/Energia!E37</f>
        <v>0.7944444444444444</v>
      </c>
      <c r="F120" s="267">
        <f>Energia!F36/Energia!F37</f>
        <v>0.78888888888888886</v>
      </c>
      <c r="G120" s="267">
        <f>Energia!G36/Energia!G37</f>
        <v>0.81111111111111112</v>
      </c>
      <c r="H120" s="267">
        <f>Energia!H36/Energia!H37</f>
        <v>0.97222222222222221</v>
      </c>
      <c r="I120" s="267">
        <f>Energia!I36/Energia!I37</f>
        <v>0.91666666666666663</v>
      </c>
      <c r="J120" s="267">
        <f>Energia!J36/Energia!J37</f>
        <v>0.83333333333333337</v>
      </c>
      <c r="K120" s="267">
        <f>Energia!K36/Energia!K37</f>
        <v>0.85</v>
      </c>
      <c r="L120" s="267">
        <f>Energia!L36/Energia!L37</f>
        <v>0.97222222222222221</v>
      </c>
      <c r="M120" s="267">
        <f>Energia!M36/Energia!M37</f>
        <v>0.83333333333333337</v>
      </c>
      <c r="N120" s="267">
        <f>Energia!N36/Energia!N37</f>
        <v>0.8666666666666667</v>
      </c>
      <c r="O120" s="268">
        <f>Energia!O36/Energia!O37</f>
        <v>0.94444444444444442</v>
      </c>
    </row>
    <row r="121" spans="1:15" s="141" customFormat="1">
      <c r="A121" s="582"/>
      <c r="B121" s="575" t="s">
        <v>259</v>
      </c>
      <c r="C121" s="576"/>
      <c r="D121" s="267">
        <f>Energia!D38/Energia!D39</f>
        <v>0.62727272727272732</v>
      </c>
      <c r="E121" s="267">
        <f>Energia!E38/Energia!E39</f>
        <v>0.69090909090909092</v>
      </c>
      <c r="F121" s="267">
        <f>Energia!F38/Energia!F39</f>
        <v>0.53181818181818186</v>
      </c>
      <c r="G121" s="267">
        <f>Energia!G38/Energia!G39</f>
        <v>0.58636363636363631</v>
      </c>
      <c r="H121" s="267">
        <f>Energia!H38/Energia!H39</f>
        <v>0.69545454545454544</v>
      </c>
      <c r="I121" s="267">
        <f>Energia!I38/Energia!I39</f>
        <v>0.63636363636363635</v>
      </c>
      <c r="J121" s="267">
        <f>Energia!J38/Energia!J39</f>
        <v>0.54090909090909089</v>
      </c>
      <c r="K121" s="267">
        <f>Energia!K38/Energia!K39</f>
        <v>0.63636363636363635</v>
      </c>
      <c r="L121" s="267">
        <f>Energia!L38/Energia!L39</f>
        <v>0.81818181818181823</v>
      </c>
      <c r="M121" s="267">
        <f>Energia!M38/Energia!M39</f>
        <v>0.65454545454545454</v>
      </c>
      <c r="N121" s="267">
        <f>Energia!N38/Energia!N39</f>
        <v>0.64090909090909087</v>
      </c>
      <c r="O121" s="268">
        <f>Energia!O38/Energia!O39</f>
        <v>0.62727272727272732</v>
      </c>
    </row>
    <row r="122" spans="1:15" s="141" customFormat="1">
      <c r="A122" s="582"/>
      <c r="B122" s="575" t="s">
        <v>14</v>
      </c>
      <c r="C122" s="576"/>
      <c r="D122" s="202" t="s">
        <v>260</v>
      </c>
      <c r="E122" s="202" t="s">
        <v>260</v>
      </c>
      <c r="F122" s="202" t="s">
        <v>260</v>
      </c>
      <c r="G122" s="202" t="s">
        <v>260</v>
      </c>
      <c r="H122" s="202" t="s">
        <v>260</v>
      </c>
      <c r="I122" s="202" t="s">
        <v>260</v>
      </c>
      <c r="J122" s="202" t="s">
        <v>260</v>
      </c>
      <c r="K122" s="202" t="s">
        <v>260</v>
      </c>
      <c r="L122" s="202" t="s">
        <v>260</v>
      </c>
      <c r="M122" s="202" t="s">
        <v>260</v>
      </c>
      <c r="N122" s="202" t="s">
        <v>260</v>
      </c>
      <c r="O122" s="204" t="s">
        <v>260</v>
      </c>
    </row>
    <row r="123" spans="1:15" s="141" customFormat="1" ht="15.75" thickBot="1">
      <c r="A123" s="582"/>
      <c r="B123" s="587" t="s">
        <v>15</v>
      </c>
      <c r="C123" s="588"/>
      <c r="D123" s="202" t="s">
        <v>260</v>
      </c>
      <c r="E123" s="202" t="s">
        <v>260</v>
      </c>
      <c r="F123" s="202" t="s">
        <v>260</v>
      </c>
      <c r="G123" s="202" t="s">
        <v>260</v>
      </c>
      <c r="H123" s="202" t="s">
        <v>260</v>
      </c>
      <c r="I123" s="202" t="s">
        <v>260</v>
      </c>
      <c r="J123" s="202" t="s">
        <v>260</v>
      </c>
      <c r="K123" s="202" t="s">
        <v>260</v>
      </c>
      <c r="L123" s="202" t="s">
        <v>260</v>
      </c>
      <c r="M123" s="202" t="s">
        <v>260</v>
      </c>
      <c r="N123" s="202" t="s">
        <v>260</v>
      </c>
      <c r="O123" s="204" t="s">
        <v>260</v>
      </c>
    </row>
    <row r="124" spans="1:15" s="143" customFormat="1" ht="30" customHeight="1">
      <c r="A124" s="568" t="s">
        <v>64</v>
      </c>
      <c r="B124" s="584" t="s">
        <v>232</v>
      </c>
      <c r="C124" s="584"/>
      <c r="D124" s="201" t="s">
        <v>260</v>
      </c>
      <c r="E124" s="201" t="s">
        <v>260</v>
      </c>
      <c r="F124" s="201" t="s">
        <v>260</v>
      </c>
      <c r="G124" s="201" t="s">
        <v>260</v>
      </c>
      <c r="H124" s="201" t="s">
        <v>260</v>
      </c>
      <c r="I124" s="201" t="s">
        <v>260</v>
      </c>
      <c r="J124" s="201" t="s">
        <v>260</v>
      </c>
      <c r="K124" s="201" t="s">
        <v>260</v>
      </c>
      <c r="L124" s="201" t="s">
        <v>260</v>
      </c>
      <c r="M124" s="201" t="s">
        <v>260</v>
      </c>
      <c r="N124" s="201" t="s">
        <v>260</v>
      </c>
      <c r="O124" s="203" t="s">
        <v>260</v>
      </c>
    </row>
    <row r="125" spans="1:15" s="141" customFormat="1">
      <c r="A125" s="569"/>
      <c r="B125" s="586" t="s">
        <v>258</v>
      </c>
      <c r="C125" s="586"/>
      <c r="D125" s="202" t="s">
        <v>260</v>
      </c>
      <c r="E125" s="202" t="s">
        <v>260</v>
      </c>
      <c r="F125" s="202" t="s">
        <v>260</v>
      </c>
      <c r="G125" s="202" t="s">
        <v>260</v>
      </c>
      <c r="H125" s="202" t="s">
        <v>260</v>
      </c>
      <c r="I125" s="202" t="s">
        <v>260</v>
      </c>
      <c r="J125" s="202" t="s">
        <v>260</v>
      </c>
      <c r="K125" s="202" t="s">
        <v>260</v>
      </c>
      <c r="L125" s="202" t="s">
        <v>260</v>
      </c>
      <c r="M125" s="202" t="s">
        <v>260</v>
      </c>
      <c r="N125" s="202" t="s">
        <v>260</v>
      </c>
      <c r="O125" s="204" t="s">
        <v>260</v>
      </c>
    </row>
    <row r="126" spans="1:15" s="141" customFormat="1">
      <c r="A126" s="569"/>
      <c r="B126" s="586" t="s">
        <v>259</v>
      </c>
      <c r="C126" s="586"/>
      <c r="D126" s="202" t="s">
        <v>260</v>
      </c>
      <c r="E126" s="202" t="s">
        <v>260</v>
      </c>
      <c r="F126" s="202" t="s">
        <v>260</v>
      </c>
      <c r="G126" s="202" t="s">
        <v>260</v>
      </c>
      <c r="H126" s="202" t="s">
        <v>260</v>
      </c>
      <c r="I126" s="202" t="s">
        <v>260</v>
      </c>
      <c r="J126" s="202" t="s">
        <v>260</v>
      </c>
      <c r="K126" s="202" t="s">
        <v>260</v>
      </c>
      <c r="L126" s="202" t="s">
        <v>260</v>
      </c>
      <c r="M126" s="202" t="s">
        <v>260</v>
      </c>
      <c r="N126" s="202" t="s">
        <v>260</v>
      </c>
      <c r="O126" s="204" t="s">
        <v>260</v>
      </c>
    </row>
    <row r="127" spans="1:15" s="141" customFormat="1">
      <c r="A127" s="569"/>
      <c r="B127" s="586" t="s">
        <v>14</v>
      </c>
      <c r="C127" s="586"/>
      <c r="D127" s="202" t="s">
        <v>260</v>
      </c>
      <c r="E127" s="202" t="s">
        <v>260</v>
      </c>
      <c r="F127" s="202" t="s">
        <v>260</v>
      </c>
      <c r="G127" s="202" t="s">
        <v>260</v>
      </c>
      <c r="H127" s="202" t="s">
        <v>260</v>
      </c>
      <c r="I127" s="202" t="s">
        <v>260</v>
      </c>
      <c r="J127" s="202" t="s">
        <v>260</v>
      </c>
      <c r="K127" s="202" t="s">
        <v>260</v>
      </c>
      <c r="L127" s="202" t="s">
        <v>260</v>
      </c>
      <c r="M127" s="202" t="s">
        <v>260</v>
      </c>
      <c r="N127" s="202" t="s">
        <v>260</v>
      </c>
      <c r="O127" s="204" t="s">
        <v>260</v>
      </c>
    </row>
    <row r="128" spans="1:15" s="141" customFormat="1" ht="15.75" thickBot="1">
      <c r="A128" s="585"/>
      <c r="B128" s="589" t="s">
        <v>15</v>
      </c>
      <c r="C128" s="589"/>
      <c r="D128" s="205" t="s">
        <v>260</v>
      </c>
      <c r="E128" s="205" t="s">
        <v>260</v>
      </c>
      <c r="F128" s="205" t="s">
        <v>260</v>
      </c>
      <c r="G128" s="205" t="s">
        <v>260</v>
      </c>
      <c r="H128" s="205" t="s">
        <v>260</v>
      </c>
      <c r="I128" s="205" t="s">
        <v>260</v>
      </c>
      <c r="J128" s="205" t="s">
        <v>260</v>
      </c>
      <c r="K128" s="205" t="s">
        <v>260</v>
      </c>
      <c r="L128" s="205" t="s">
        <v>260</v>
      </c>
      <c r="M128" s="205" t="s">
        <v>260</v>
      </c>
      <c r="N128" s="205" t="s">
        <v>260</v>
      </c>
      <c r="O128" s="206" t="s">
        <v>260</v>
      </c>
    </row>
    <row r="129" spans="1:15" s="143" customFormat="1">
      <c r="A129" s="581" t="s">
        <v>65</v>
      </c>
      <c r="B129" s="573" t="s">
        <v>233</v>
      </c>
      <c r="C129" s="574"/>
      <c r="D129" s="235">
        <f>D130+D131+D132</f>
        <v>345</v>
      </c>
      <c r="E129" s="260">
        <f t="shared" ref="E129:O129" si="37">E130+E131+E132</f>
        <v>398</v>
      </c>
      <c r="F129" s="260">
        <f t="shared" si="37"/>
        <v>317</v>
      </c>
      <c r="G129" s="260">
        <f t="shared" si="37"/>
        <v>248</v>
      </c>
      <c r="H129" s="260">
        <f t="shared" si="37"/>
        <v>1110</v>
      </c>
      <c r="I129" s="260">
        <f t="shared" si="37"/>
        <v>476</v>
      </c>
      <c r="J129" s="260">
        <f t="shared" si="37"/>
        <v>609</v>
      </c>
      <c r="K129" s="260">
        <f t="shared" si="37"/>
        <v>645</v>
      </c>
      <c r="L129" s="260">
        <f t="shared" si="37"/>
        <v>520</v>
      </c>
      <c r="M129" s="260">
        <f t="shared" si="37"/>
        <v>489</v>
      </c>
      <c r="N129" s="260">
        <f t="shared" si="37"/>
        <v>521</v>
      </c>
      <c r="O129" s="261">
        <f t="shared" si="37"/>
        <v>482</v>
      </c>
    </row>
    <row r="130" spans="1:15" s="141" customFormat="1">
      <c r="A130" s="582"/>
      <c r="B130" s="586" t="s">
        <v>6</v>
      </c>
      <c r="C130" s="586"/>
      <c r="D130" s="294">
        <f>Água!C12</f>
        <v>309</v>
      </c>
      <c r="E130" s="294">
        <f>Água!D12</f>
        <v>314</v>
      </c>
      <c r="F130" s="294">
        <f>Água!E12</f>
        <v>287</v>
      </c>
      <c r="G130" s="294">
        <f>Água!F12</f>
        <v>196</v>
      </c>
      <c r="H130" s="294">
        <f>Água!G12</f>
        <v>1041</v>
      </c>
      <c r="I130" s="294">
        <f>Água!H12</f>
        <v>408</v>
      </c>
      <c r="J130" s="294">
        <f>Água!I12</f>
        <v>542</v>
      </c>
      <c r="K130" s="294">
        <f>Água!J12</f>
        <v>571</v>
      </c>
      <c r="L130" s="294">
        <f>Água!K12</f>
        <v>447</v>
      </c>
      <c r="M130" s="294">
        <f>Água!L12</f>
        <v>406</v>
      </c>
      <c r="N130" s="294">
        <f>Água!M12</f>
        <v>458</v>
      </c>
      <c r="O130" s="248">
        <f>Água!N12</f>
        <v>414</v>
      </c>
    </row>
    <row r="131" spans="1:15" s="141" customFormat="1">
      <c r="A131" s="582"/>
      <c r="B131" s="586" t="s">
        <v>14</v>
      </c>
      <c r="C131" s="586"/>
      <c r="D131" s="294">
        <f>Água!C14</f>
        <v>21</v>
      </c>
      <c r="E131" s="294">
        <f>Água!D14</f>
        <v>69</v>
      </c>
      <c r="F131" s="294">
        <f>Água!E14</f>
        <v>15</v>
      </c>
      <c r="G131" s="294">
        <f>Água!F14</f>
        <v>35</v>
      </c>
      <c r="H131" s="294">
        <f>Água!G14</f>
        <v>48</v>
      </c>
      <c r="I131" s="294">
        <f>Água!H14</f>
        <v>43</v>
      </c>
      <c r="J131" s="294">
        <f>Água!I14</f>
        <v>36</v>
      </c>
      <c r="K131" s="294">
        <f>Água!J14</f>
        <v>45</v>
      </c>
      <c r="L131" s="294">
        <f>Água!K14</f>
        <v>47</v>
      </c>
      <c r="M131" s="294">
        <f>Água!L14</f>
        <v>60</v>
      </c>
      <c r="N131" s="294">
        <f>Água!M14</f>
        <v>39</v>
      </c>
      <c r="O131" s="248">
        <f>Água!N14</f>
        <v>43</v>
      </c>
    </row>
    <row r="132" spans="1:15" s="141" customFormat="1" ht="15.75" thickBot="1">
      <c r="A132" s="583"/>
      <c r="B132" s="589" t="s">
        <v>15</v>
      </c>
      <c r="C132" s="589"/>
      <c r="D132" s="295">
        <f>Água!C18</f>
        <v>15</v>
      </c>
      <c r="E132" s="295">
        <f>Água!D18</f>
        <v>15</v>
      </c>
      <c r="F132" s="295">
        <f>Água!E18</f>
        <v>15</v>
      </c>
      <c r="G132" s="295">
        <f>Água!F18</f>
        <v>17</v>
      </c>
      <c r="H132" s="295">
        <f>Água!G18</f>
        <v>21</v>
      </c>
      <c r="I132" s="295">
        <f>Água!H18</f>
        <v>25</v>
      </c>
      <c r="J132" s="295">
        <f>Água!I18</f>
        <v>31</v>
      </c>
      <c r="K132" s="295">
        <f>Água!J18</f>
        <v>29</v>
      </c>
      <c r="L132" s="295">
        <f>Água!K18</f>
        <v>26</v>
      </c>
      <c r="M132" s="295">
        <f>Água!L18</f>
        <v>23</v>
      </c>
      <c r="N132" s="295">
        <f>Água!M18</f>
        <v>24</v>
      </c>
      <c r="O132" s="296">
        <f>Água!N18</f>
        <v>25</v>
      </c>
    </row>
    <row r="133" spans="1:15" s="143" customFormat="1">
      <c r="A133" s="581" t="s">
        <v>66</v>
      </c>
      <c r="B133" s="573" t="s">
        <v>234</v>
      </c>
      <c r="C133" s="574"/>
      <c r="D133" s="189">
        <f>D129/11506.09</f>
        <v>2.9984121452204877E-2</v>
      </c>
      <c r="E133" s="189">
        <f t="shared" ref="E133:O133" si="38">E129/11506.09</f>
        <v>3.4590377791239246E-2</v>
      </c>
      <c r="F133" s="189">
        <f t="shared" si="38"/>
        <v>2.755062753724332E-2</v>
      </c>
      <c r="G133" s="189">
        <f t="shared" si="38"/>
        <v>2.1553803246802346E-2</v>
      </c>
      <c r="H133" s="189">
        <f t="shared" si="38"/>
        <v>9.6470651628833073E-2</v>
      </c>
      <c r="I133" s="189">
        <f t="shared" si="38"/>
        <v>4.136939655434644E-2</v>
      </c>
      <c r="J133" s="189">
        <f t="shared" si="38"/>
        <v>5.2928492650413821E-2</v>
      </c>
      <c r="K133" s="189">
        <f t="shared" si="38"/>
        <v>5.6057270541078681E-2</v>
      </c>
      <c r="L133" s="189">
        <f t="shared" si="38"/>
        <v>4.5193458420714594E-2</v>
      </c>
      <c r="M133" s="189">
        <f t="shared" si="38"/>
        <v>4.2499233014864302E-2</v>
      </c>
      <c r="N133" s="189">
        <f t="shared" si="38"/>
        <v>4.5280368917677505E-2</v>
      </c>
      <c r="O133" s="189">
        <f t="shared" si="38"/>
        <v>4.1890859536123912E-2</v>
      </c>
    </row>
    <row r="134" spans="1:15" s="141" customFormat="1">
      <c r="A134" s="582"/>
      <c r="B134" s="586" t="s">
        <v>6</v>
      </c>
      <c r="C134" s="586"/>
      <c r="D134" s="215">
        <f>D130/10104.18</f>
        <v>3.0581402944128071E-2</v>
      </c>
      <c r="E134" s="215">
        <f t="shared" ref="E134:O134" si="39">E130/10104.18</f>
        <v>3.1076247651961861E-2</v>
      </c>
      <c r="F134" s="215">
        <f t="shared" si="39"/>
        <v>2.8404086229659408E-2</v>
      </c>
      <c r="G134" s="215">
        <f t="shared" si="39"/>
        <v>1.9397912547084475E-2</v>
      </c>
      <c r="H134" s="215">
        <f t="shared" si="39"/>
        <v>0.10302666817099458</v>
      </c>
      <c r="I134" s="215">
        <f t="shared" si="39"/>
        <v>4.0379328159237067E-2</v>
      </c>
      <c r="J134" s="215">
        <f t="shared" si="39"/>
        <v>5.3641166329182574E-2</v>
      </c>
      <c r="K134" s="215">
        <f t="shared" si="39"/>
        <v>5.6511265634618543E-2</v>
      </c>
      <c r="L134" s="215">
        <f t="shared" si="39"/>
        <v>4.4239116880340608E-2</v>
      </c>
      <c r="M134" s="215">
        <f t="shared" si="39"/>
        <v>4.0181390276103554E-2</v>
      </c>
      <c r="N134" s="215">
        <f t="shared" si="39"/>
        <v>4.532777523757494E-2</v>
      </c>
      <c r="O134" s="215">
        <f t="shared" si="39"/>
        <v>4.0973141808637613E-2</v>
      </c>
    </row>
    <row r="135" spans="1:15" s="141" customFormat="1">
      <c r="A135" s="582"/>
      <c r="B135" s="586" t="s">
        <v>14</v>
      </c>
      <c r="C135" s="586"/>
      <c r="D135" s="215">
        <f>D131/706.98</f>
        <v>2.9703810574556563E-2</v>
      </c>
      <c r="E135" s="215">
        <f t="shared" ref="E135:O135" si="40">E131/706.98</f>
        <v>9.7598234744971563E-2</v>
      </c>
      <c r="F135" s="215">
        <f t="shared" si="40"/>
        <v>2.1217007553254688E-2</v>
      </c>
      <c r="G135" s="215">
        <f t="shared" si="40"/>
        <v>4.9506350957594272E-2</v>
      </c>
      <c r="H135" s="215">
        <f t="shared" si="40"/>
        <v>6.7894424170414996E-2</v>
      </c>
      <c r="I135" s="215">
        <f t="shared" si="40"/>
        <v>6.0822088319330107E-2</v>
      </c>
      <c r="J135" s="215">
        <f t="shared" si="40"/>
        <v>5.0920818127811254E-2</v>
      </c>
      <c r="K135" s="215">
        <f t="shared" si="40"/>
        <v>6.3651022659764064E-2</v>
      </c>
      <c r="L135" s="215">
        <f t="shared" si="40"/>
        <v>6.6479957000198028E-2</v>
      </c>
      <c r="M135" s="215">
        <f t="shared" si="40"/>
        <v>8.4868030213018752E-2</v>
      </c>
      <c r="N135" s="215">
        <f t="shared" si="40"/>
        <v>5.5164219638462193E-2</v>
      </c>
      <c r="O135" s="215">
        <f t="shared" si="40"/>
        <v>6.0822088319330107E-2</v>
      </c>
    </row>
    <row r="136" spans="1:15" s="141" customFormat="1" ht="15.75" thickBot="1">
      <c r="A136" s="583"/>
      <c r="B136" s="589" t="s">
        <v>15</v>
      </c>
      <c r="C136" s="589"/>
      <c r="D136" s="216">
        <f>D132/694.93</f>
        <v>2.1584907832443555E-2</v>
      </c>
      <c r="E136" s="216">
        <f t="shared" ref="E136:O136" si="41">E132/694.93</f>
        <v>2.1584907832443555E-2</v>
      </c>
      <c r="F136" s="216">
        <f t="shared" si="41"/>
        <v>2.1584907832443555E-2</v>
      </c>
      <c r="G136" s="216">
        <f t="shared" si="41"/>
        <v>2.4462895543436031E-2</v>
      </c>
      <c r="H136" s="216">
        <f t="shared" si="41"/>
        <v>3.0218870965420981E-2</v>
      </c>
      <c r="I136" s="216">
        <f t="shared" si="41"/>
        <v>3.5974846387405932E-2</v>
      </c>
      <c r="J136" s="216">
        <f t="shared" si="41"/>
        <v>4.4608809520383354E-2</v>
      </c>
      <c r="K136" s="216">
        <f t="shared" si="41"/>
        <v>4.1730821809390875E-2</v>
      </c>
      <c r="L136" s="216">
        <f t="shared" si="41"/>
        <v>3.7413840242902167E-2</v>
      </c>
      <c r="M136" s="216">
        <f t="shared" si="41"/>
        <v>3.3096858676413453E-2</v>
      </c>
      <c r="N136" s="216">
        <f t="shared" si="41"/>
        <v>3.4535852531909689E-2</v>
      </c>
      <c r="O136" s="216">
        <f t="shared" si="41"/>
        <v>3.5974846387405932E-2</v>
      </c>
    </row>
    <row r="137" spans="1:15">
      <c r="A137" s="581" t="s">
        <v>67</v>
      </c>
      <c r="B137" s="573" t="s">
        <v>235</v>
      </c>
      <c r="C137" s="574"/>
      <c r="D137" s="189">
        <f>D138+D139+D140</f>
        <v>6446.83</v>
      </c>
      <c r="E137" s="189">
        <f t="shared" ref="E137:O137" si="42">E138+E139+E140</f>
        <v>7098.2</v>
      </c>
      <c r="F137" s="189">
        <f t="shared" si="42"/>
        <v>5940.3099999999995</v>
      </c>
      <c r="G137" s="189">
        <f t="shared" si="42"/>
        <v>4328.7</v>
      </c>
      <c r="H137" s="189">
        <f t="shared" si="42"/>
        <v>12930.32</v>
      </c>
      <c r="I137" s="189">
        <f t="shared" si="42"/>
        <v>9288.82</v>
      </c>
      <c r="J137" s="189">
        <f t="shared" si="42"/>
        <v>12026.15</v>
      </c>
      <c r="K137" s="189">
        <f t="shared" si="42"/>
        <v>12765.130000000001</v>
      </c>
      <c r="L137" s="189">
        <f t="shared" si="42"/>
        <v>10193.880000000001</v>
      </c>
      <c r="M137" s="189">
        <f t="shared" si="42"/>
        <v>9556.2200000000012</v>
      </c>
      <c r="N137" s="189">
        <f t="shared" si="42"/>
        <v>10214.459999999999</v>
      </c>
      <c r="O137" s="190">
        <f t="shared" si="42"/>
        <v>9412.25</v>
      </c>
    </row>
    <row r="138" spans="1:15" s="141" customFormat="1">
      <c r="A138" s="582"/>
      <c r="B138" s="586" t="s">
        <v>6</v>
      </c>
      <c r="C138" s="586"/>
      <c r="D138" s="215">
        <f>Água!C13</f>
        <v>6054.64</v>
      </c>
      <c r="E138" s="215">
        <f>Água!D13</f>
        <v>6157.48</v>
      </c>
      <c r="F138" s="215">
        <f>Água!E13</f>
        <v>5602.04</v>
      </c>
      <c r="G138" s="215">
        <f>Água!F13</f>
        <v>3730.21</v>
      </c>
      <c r="H138" s="215">
        <f>Água!G13</f>
        <v>11712</v>
      </c>
      <c r="I138" s="215">
        <f>Água!H13</f>
        <v>8091.06</v>
      </c>
      <c r="J138" s="215">
        <f>Água!I13</f>
        <v>10847.46</v>
      </c>
      <c r="K138" s="215">
        <f>Água!J13</f>
        <v>11443.960000000001</v>
      </c>
      <c r="L138" s="215">
        <f>Água!K13</f>
        <v>8893.25</v>
      </c>
      <c r="M138" s="215">
        <f>Água!L13</f>
        <v>8049.92</v>
      </c>
      <c r="N138" s="215">
        <f>Água!M13</f>
        <v>9119.56</v>
      </c>
      <c r="O138" s="217">
        <f>Água!N13</f>
        <v>8214.49</v>
      </c>
    </row>
    <row r="139" spans="1:15" s="141" customFormat="1">
      <c r="A139" s="582"/>
      <c r="B139" s="586" t="s">
        <v>14</v>
      </c>
      <c r="C139" s="586"/>
      <c r="D139" s="215">
        <f>Água!C15</f>
        <v>184.15</v>
      </c>
      <c r="E139" s="215">
        <f>Água!D15</f>
        <v>732.68</v>
      </c>
      <c r="F139" s="215">
        <f>Água!E15</f>
        <v>130.22999999999999</v>
      </c>
      <c r="G139" s="215">
        <f>Água!F15</f>
        <v>349.3</v>
      </c>
      <c r="H139" s="215">
        <f>Água!G15</f>
        <v>886.85</v>
      </c>
      <c r="I139" s="215">
        <f>Água!H15</f>
        <v>784.01</v>
      </c>
      <c r="J139" s="215">
        <f>Água!I15</f>
        <v>641.53</v>
      </c>
      <c r="K139" s="215">
        <f>Água!J15</f>
        <v>825.14</v>
      </c>
      <c r="L139" s="215">
        <f>Água!K15</f>
        <v>866.29</v>
      </c>
      <c r="M139" s="215">
        <f>Água!L15</f>
        <v>1133.7</v>
      </c>
      <c r="N139" s="215">
        <f>Água!M15</f>
        <v>701.72</v>
      </c>
      <c r="O139" s="217">
        <f>Água!N15</f>
        <v>784.01</v>
      </c>
    </row>
    <row r="140" spans="1:15" s="141" customFormat="1" ht="15.75" thickBot="1">
      <c r="A140" s="583"/>
      <c r="B140" s="589" t="s">
        <v>15</v>
      </c>
      <c r="C140" s="589"/>
      <c r="D140" s="216">
        <f>Água!C19</f>
        <v>208.04</v>
      </c>
      <c r="E140" s="216">
        <f>Água!D19</f>
        <v>208.04</v>
      </c>
      <c r="F140" s="216">
        <f>Água!E19</f>
        <v>208.04</v>
      </c>
      <c r="G140" s="216">
        <f>Água!F19</f>
        <v>249.19</v>
      </c>
      <c r="H140" s="216">
        <f>Água!G19</f>
        <v>331.47</v>
      </c>
      <c r="I140" s="216">
        <f>Água!H19</f>
        <v>413.75</v>
      </c>
      <c r="J140" s="216">
        <f>Água!I19</f>
        <v>537.16</v>
      </c>
      <c r="K140" s="216">
        <f>Água!J19</f>
        <v>496.03</v>
      </c>
      <c r="L140" s="216">
        <f>Água!K19</f>
        <v>434.34</v>
      </c>
      <c r="M140" s="216">
        <f>Água!L19</f>
        <v>372.6</v>
      </c>
      <c r="N140" s="216">
        <f>Água!M19</f>
        <v>393.18</v>
      </c>
      <c r="O140" s="218">
        <f>Água!N19</f>
        <v>413.75</v>
      </c>
    </row>
    <row r="141" spans="1:15">
      <c r="A141" s="590" t="s">
        <v>68</v>
      </c>
      <c r="B141" s="591" t="s">
        <v>236</v>
      </c>
      <c r="C141" s="592"/>
      <c r="D141" s="189">
        <f>D137/11506.09</f>
        <v>0.56029719913541431</v>
      </c>
      <c r="E141" s="189">
        <f t="shared" ref="E141:O141" si="43">E137/11506.09</f>
        <v>0.61690808954214682</v>
      </c>
      <c r="F141" s="189">
        <f t="shared" si="43"/>
        <v>0.51627529421375984</v>
      </c>
      <c r="G141" s="189">
        <f t="shared" si="43"/>
        <v>0.3762094682033601</v>
      </c>
      <c r="H141" s="189">
        <f t="shared" si="43"/>
        <v>1.1237805370894891</v>
      </c>
      <c r="I141" s="189">
        <f t="shared" si="43"/>
        <v>0.80729596239904255</v>
      </c>
      <c r="J141" s="189">
        <f t="shared" si="43"/>
        <v>1.0451986730505323</v>
      </c>
      <c r="K141" s="189">
        <f t="shared" si="43"/>
        <v>1.1094237920961856</v>
      </c>
      <c r="L141" s="189">
        <f t="shared" si="43"/>
        <v>0.88595517678029645</v>
      </c>
      <c r="M141" s="189">
        <f t="shared" si="43"/>
        <v>0.83053582928692549</v>
      </c>
      <c r="N141" s="189">
        <f t="shared" si="43"/>
        <v>0.88774379480779297</v>
      </c>
      <c r="O141" s="189">
        <f t="shared" si="43"/>
        <v>0.81802332503917485</v>
      </c>
    </row>
    <row r="142" spans="1:15" s="141" customFormat="1">
      <c r="A142" s="590"/>
      <c r="B142" s="586" t="s">
        <v>6</v>
      </c>
      <c r="C142" s="586"/>
      <c r="D142" s="294">
        <f>D138/10104.18</f>
        <v>0.59922131236775278</v>
      </c>
      <c r="E142" s="294">
        <f t="shared" ref="E142:O142" si="44">E138/10104.18</f>
        <v>0.60939927831847807</v>
      </c>
      <c r="F142" s="294">
        <f t="shared" si="44"/>
        <v>0.55442796941463823</v>
      </c>
      <c r="G142" s="294">
        <f t="shared" si="44"/>
        <v>0.36917493552173458</v>
      </c>
      <c r="H142" s="294">
        <f t="shared" si="44"/>
        <v>1.1591242436298641</v>
      </c>
      <c r="I142" s="294">
        <f t="shared" si="44"/>
        <v>0.80076364435312908</v>
      </c>
      <c r="J142" s="294">
        <f t="shared" si="44"/>
        <v>1.0735616348877395</v>
      </c>
      <c r="K142" s="294">
        <f t="shared" si="44"/>
        <v>1.1325966085323105</v>
      </c>
      <c r="L142" s="294">
        <f t="shared" si="44"/>
        <v>0.88015553958856629</v>
      </c>
      <c r="M142" s="294">
        <f t="shared" si="44"/>
        <v>0.79669206209707266</v>
      </c>
      <c r="N142" s="294">
        <f t="shared" si="44"/>
        <v>0.90255320075453915</v>
      </c>
      <c r="O142" s="294">
        <f t="shared" si="44"/>
        <v>0.81297938081071397</v>
      </c>
    </row>
    <row r="143" spans="1:15" s="141" customFormat="1">
      <c r="A143" s="590"/>
      <c r="B143" s="586" t="s">
        <v>14</v>
      </c>
      <c r="C143" s="586"/>
      <c r="D143" s="294">
        <f>D139/706.98</f>
        <v>0.26047412939545672</v>
      </c>
      <c r="E143" s="294">
        <f t="shared" ref="E143:O143" si="45">E139/706.98</f>
        <v>1.0363518062745762</v>
      </c>
      <c r="F143" s="294">
        <f t="shared" si="45"/>
        <v>0.1842060595773572</v>
      </c>
      <c r="G143" s="294">
        <f t="shared" si="45"/>
        <v>0.49407338255679084</v>
      </c>
      <c r="H143" s="294">
        <f t="shared" si="45"/>
        <v>1.2544202099069282</v>
      </c>
      <c r="I143" s="294">
        <f t="shared" si="45"/>
        <v>1.1089564061218138</v>
      </c>
      <c r="J143" s="294">
        <f t="shared" si="45"/>
        <v>0.90742312370929867</v>
      </c>
      <c r="K143" s="294">
        <f t="shared" si="45"/>
        <v>1.1671334408328382</v>
      </c>
      <c r="L143" s="294">
        <f t="shared" si="45"/>
        <v>1.2253387648872669</v>
      </c>
      <c r="M143" s="294">
        <f t="shared" si="45"/>
        <v>1.6035814308749894</v>
      </c>
      <c r="N143" s="294">
        <f t="shared" si="45"/>
        <v>0.99255990268465866</v>
      </c>
      <c r="O143" s="294">
        <f t="shared" si="45"/>
        <v>1.1089564061218138</v>
      </c>
    </row>
    <row r="144" spans="1:15" s="141" customFormat="1" ht="15.75" thickBot="1">
      <c r="A144" s="590"/>
      <c r="B144" s="593" t="s">
        <v>15</v>
      </c>
      <c r="C144" s="593"/>
      <c r="D144" s="301">
        <f>D140/694.93</f>
        <v>0.29936828169743718</v>
      </c>
      <c r="E144" s="301">
        <f t="shared" ref="E144:O144" si="46">E140/694.93</f>
        <v>0.29936828169743718</v>
      </c>
      <c r="F144" s="301">
        <f t="shared" si="46"/>
        <v>0.29936828169743718</v>
      </c>
      <c r="G144" s="301">
        <f t="shared" si="46"/>
        <v>0.35858287885110735</v>
      </c>
      <c r="H144" s="301">
        <f t="shared" si="46"/>
        <v>0.47698329328133776</v>
      </c>
      <c r="I144" s="301">
        <f t="shared" si="46"/>
        <v>0.59538370771156812</v>
      </c>
      <c r="J144" s="301">
        <f t="shared" si="46"/>
        <v>0.77296993941835868</v>
      </c>
      <c r="K144" s="301">
        <f t="shared" si="46"/>
        <v>0.71378412214179843</v>
      </c>
      <c r="L144" s="301">
        <f t="shared" si="46"/>
        <v>0.62501259119623565</v>
      </c>
      <c r="M144" s="301">
        <f t="shared" si="46"/>
        <v>0.53616911055789795</v>
      </c>
      <c r="N144" s="301">
        <f t="shared" si="46"/>
        <v>0.56578360410401052</v>
      </c>
      <c r="O144" s="301">
        <f t="shared" si="46"/>
        <v>0.59538370771156812</v>
      </c>
    </row>
    <row r="145" spans="1:15">
      <c r="A145" s="568" t="s">
        <v>72</v>
      </c>
      <c r="B145" s="584" t="s">
        <v>237</v>
      </c>
      <c r="C145" s="584"/>
      <c r="D145" s="198">
        <v>0</v>
      </c>
      <c r="E145" s="198">
        <v>0.53</v>
      </c>
      <c r="F145" s="198">
        <v>0</v>
      </c>
      <c r="G145" s="198">
        <v>0</v>
      </c>
      <c r="H145" s="198">
        <v>0</v>
      </c>
      <c r="I145" s="198" t="e">
        <f>I146+I147+I148</f>
        <v>#VALUE!</v>
      </c>
      <c r="J145" s="198" t="e">
        <f t="shared" ref="J145:O145" si="47">J146+J147+J148</f>
        <v>#VALUE!</v>
      </c>
      <c r="K145" s="198" t="e">
        <f t="shared" si="47"/>
        <v>#VALUE!</v>
      </c>
      <c r="L145" s="198" t="e">
        <f t="shared" si="47"/>
        <v>#VALUE!</v>
      </c>
      <c r="M145" s="198" t="e">
        <f t="shared" si="47"/>
        <v>#VALUE!</v>
      </c>
      <c r="N145" s="198" t="e">
        <f t="shared" si="47"/>
        <v>#VALUE!</v>
      </c>
      <c r="O145" s="199" t="e">
        <f t="shared" si="47"/>
        <v>#VALUE!</v>
      </c>
    </row>
    <row r="146" spans="1:15" s="141" customFormat="1">
      <c r="A146" s="569"/>
      <c r="B146" s="586" t="s">
        <v>6</v>
      </c>
      <c r="C146" s="586"/>
      <c r="D146" s="209">
        <f>Resíduos!C18</f>
        <v>460</v>
      </c>
      <c r="E146" s="339">
        <f>Resíduos!D18</f>
        <v>0</v>
      </c>
      <c r="F146" s="209">
        <f>Resíduos!E18</f>
        <v>60</v>
      </c>
      <c r="G146" s="209">
        <f>Resíduos!F18</f>
        <v>110</v>
      </c>
      <c r="H146" s="209">
        <f>Resíduos!G18</f>
        <v>60</v>
      </c>
      <c r="I146" s="209">
        <f>Resíduos!H18</f>
        <v>0</v>
      </c>
      <c r="J146" s="209">
        <f>Resíduos!I18</f>
        <v>55</v>
      </c>
      <c r="K146" s="209">
        <f>Resíduos!J18</f>
        <v>30</v>
      </c>
      <c r="L146" s="209">
        <f>Resíduos!K18</f>
        <v>0</v>
      </c>
      <c r="M146" s="209">
        <f>Resíduos!L18</f>
        <v>100</v>
      </c>
      <c r="N146" s="209">
        <f>Resíduos!M18</f>
        <v>0</v>
      </c>
      <c r="O146" s="213">
        <f>Resíduos!N18</f>
        <v>1860</v>
      </c>
    </row>
    <row r="147" spans="1:15" s="141" customFormat="1">
      <c r="A147" s="569"/>
      <c r="B147" s="586" t="s">
        <v>14</v>
      </c>
      <c r="C147" s="586"/>
      <c r="D147" s="209" t="str">
        <f>Resíduos!C27</f>
        <v>Sem destinação</v>
      </c>
      <c r="E147" s="209" t="str">
        <f>Resíduos!D27</f>
        <v>Sem destinação</v>
      </c>
      <c r="F147" s="209" t="str">
        <f>Resíduos!E27</f>
        <v>Sem destinação</v>
      </c>
      <c r="G147" s="209" t="str">
        <f>Resíduos!F27</f>
        <v>Sem destinação</v>
      </c>
      <c r="H147" s="209" t="str">
        <f>Resíduos!G27</f>
        <v>Sem destinação</v>
      </c>
      <c r="I147" s="209" t="str">
        <f>Resíduos!H27</f>
        <v>Sem destinação</v>
      </c>
      <c r="J147" s="209" t="str">
        <f>Resíduos!I27</f>
        <v>Sem destinação</v>
      </c>
      <c r="K147" s="209" t="str">
        <f>Resíduos!J27</f>
        <v>Sem destinação</v>
      </c>
      <c r="L147" s="209" t="str">
        <f>Resíduos!K27</f>
        <v>Sem destinação</v>
      </c>
      <c r="M147" s="209" t="str">
        <f>Resíduos!L27</f>
        <v>Sem destinação</v>
      </c>
      <c r="N147" s="209" t="str">
        <f>Resíduos!M27</f>
        <v>Sem destinação</v>
      </c>
      <c r="O147" s="213" t="str">
        <f>Resíduos!N27</f>
        <v>Sem destinação</v>
      </c>
    </row>
    <row r="148" spans="1:15" s="141" customFormat="1" ht="15.75" thickBot="1">
      <c r="A148" s="570"/>
      <c r="B148" s="593" t="s">
        <v>15</v>
      </c>
      <c r="C148" s="593"/>
      <c r="D148" s="219" t="str">
        <f>Resíduos!C36</f>
        <v>Sem destinação</v>
      </c>
      <c r="E148" s="219" t="str">
        <f>Resíduos!D36</f>
        <v>Sem destinação</v>
      </c>
      <c r="F148" s="219" t="str">
        <f>Resíduos!E36</f>
        <v>Sem destinação</v>
      </c>
      <c r="G148" s="219" t="str">
        <f>Resíduos!F36</f>
        <v>Sem destinação</v>
      </c>
      <c r="H148" s="219" t="str">
        <f>Resíduos!G36</f>
        <v>Sem destinação</v>
      </c>
      <c r="I148" s="219" t="str">
        <f>Resíduos!H36</f>
        <v>Sem destinação</v>
      </c>
      <c r="J148" s="219" t="str">
        <f>Resíduos!I36</f>
        <v>Sem destinação</v>
      </c>
      <c r="K148" s="219" t="str">
        <f>Resíduos!J36</f>
        <v>Sem destinação</v>
      </c>
      <c r="L148" s="219" t="str">
        <f>Resíduos!K36</f>
        <v>Sem destinação</v>
      </c>
      <c r="M148" s="219" t="str">
        <f>Resíduos!L36</f>
        <v>Sem destinação</v>
      </c>
      <c r="N148" s="219" t="str">
        <f>Resíduos!M36</f>
        <v>Sem destinação</v>
      </c>
      <c r="O148" s="220" t="str">
        <f>Resíduos!N36</f>
        <v>Sem destinação</v>
      </c>
    </row>
    <row r="149" spans="1:15" ht="29.25" customHeight="1">
      <c r="A149" s="568" t="s">
        <v>73</v>
      </c>
      <c r="B149" s="584" t="s">
        <v>238</v>
      </c>
      <c r="C149" s="584"/>
      <c r="D149" s="198">
        <v>0</v>
      </c>
      <c r="E149" s="198">
        <v>0</v>
      </c>
      <c r="F149" s="198">
        <v>0</v>
      </c>
      <c r="G149" s="198">
        <v>0</v>
      </c>
      <c r="H149" s="198">
        <v>0</v>
      </c>
      <c r="I149" s="198" t="e">
        <f>I150+I151+I152</f>
        <v>#VALUE!</v>
      </c>
      <c r="J149" s="198" t="e">
        <f t="shared" ref="J149:O149" si="48">J150+J151+J152</f>
        <v>#VALUE!</v>
      </c>
      <c r="K149" s="198" t="e">
        <f t="shared" si="48"/>
        <v>#VALUE!</v>
      </c>
      <c r="L149" s="198" t="e">
        <f t="shared" si="48"/>
        <v>#VALUE!</v>
      </c>
      <c r="M149" s="198" t="e">
        <f t="shared" si="48"/>
        <v>#VALUE!</v>
      </c>
      <c r="N149" s="198" t="e">
        <f t="shared" si="48"/>
        <v>#VALUE!</v>
      </c>
      <c r="O149" s="199" t="e">
        <f t="shared" si="48"/>
        <v>#VALUE!</v>
      </c>
    </row>
    <row r="150" spans="1:15" s="141" customFormat="1">
      <c r="A150" s="569"/>
      <c r="B150" s="586" t="s">
        <v>6</v>
      </c>
      <c r="C150" s="586"/>
      <c r="D150" s="209" t="str">
        <f>Resíduos!C19</f>
        <v>Sem destinação</v>
      </c>
      <c r="E150" s="209" t="str">
        <f>Resíduos!D19</f>
        <v>Sem destinação</v>
      </c>
      <c r="F150" s="209" t="str">
        <f>Resíduos!E19</f>
        <v>Sem destinação</v>
      </c>
      <c r="G150" s="209" t="str">
        <f>Resíduos!F19</f>
        <v>Sem destinação</v>
      </c>
      <c r="H150" s="209" t="str">
        <f>Resíduos!G19</f>
        <v>Sem destinação</v>
      </c>
      <c r="I150" s="209" t="str">
        <f>Resíduos!H19</f>
        <v>Sem destinação</v>
      </c>
      <c r="J150" s="209" t="str">
        <f>Resíduos!I19</f>
        <v>Sem destinação</v>
      </c>
      <c r="K150" s="209" t="str">
        <f>Resíduos!J19</f>
        <v>Sem destinação</v>
      </c>
      <c r="L150" s="209" t="str">
        <f>Resíduos!K19</f>
        <v>Sem destinação</v>
      </c>
      <c r="M150" s="209" t="str">
        <f>Resíduos!L19</f>
        <v>Sem destinação</v>
      </c>
      <c r="N150" s="209" t="str">
        <f>Resíduos!M19</f>
        <v>Sem destinação</v>
      </c>
      <c r="O150" s="213" t="str">
        <f>Resíduos!N19</f>
        <v>Sem destinação</v>
      </c>
    </row>
    <row r="151" spans="1:15" s="141" customFormat="1">
      <c r="A151" s="569"/>
      <c r="B151" s="586" t="s">
        <v>14</v>
      </c>
      <c r="C151" s="586"/>
      <c r="D151" s="209" t="str">
        <f>Resíduos!C28</f>
        <v>Sem destinação</v>
      </c>
      <c r="E151" s="209" t="str">
        <f>Resíduos!D28</f>
        <v>Sem destinação</v>
      </c>
      <c r="F151" s="209" t="str">
        <f>Resíduos!E28</f>
        <v>Sem destinação</v>
      </c>
      <c r="G151" s="209" t="str">
        <f>Resíduos!F28</f>
        <v>Sem destinação</v>
      </c>
      <c r="H151" s="209" t="str">
        <f>Resíduos!G28</f>
        <v>Sem destinação</v>
      </c>
      <c r="I151" s="209" t="str">
        <f>Resíduos!H28</f>
        <v>Sem destinação</v>
      </c>
      <c r="J151" s="209" t="str">
        <f>Resíduos!I28</f>
        <v>Sem destinação</v>
      </c>
      <c r="K151" s="209" t="str">
        <f>Resíduos!J28</f>
        <v>Sem destinação</v>
      </c>
      <c r="L151" s="209" t="str">
        <f>Resíduos!K28</f>
        <v>Sem destinação</v>
      </c>
      <c r="M151" s="209" t="str">
        <f>Resíduos!L28</f>
        <v>Sem destinação</v>
      </c>
      <c r="N151" s="209" t="str">
        <f>Resíduos!M28</f>
        <v>Sem destinação</v>
      </c>
      <c r="O151" s="213" t="str">
        <f>Resíduos!N28</f>
        <v>Sem destinação</v>
      </c>
    </row>
    <row r="152" spans="1:15" s="141" customFormat="1" ht="15.75" thickBot="1">
      <c r="A152" s="585"/>
      <c r="B152" s="589" t="s">
        <v>15</v>
      </c>
      <c r="C152" s="589"/>
      <c r="D152" s="210" t="str">
        <f>Resíduos!C37</f>
        <v>Sem destinação</v>
      </c>
      <c r="E152" s="210" t="str">
        <f>Resíduos!D37</f>
        <v>Sem destinação</v>
      </c>
      <c r="F152" s="210" t="str">
        <f>Resíduos!E37</f>
        <v>Sem destinação</v>
      </c>
      <c r="G152" s="210" t="str">
        <f>Resíduos!F37</f>
        <v>Sem destinação</v>
      </c>
      <c r="H152" s="210" t="str">
        <f>Resíduos!G37</f>
        <v>Sem destinação</v>
      </c>
      <c r="I152" s="210" t="str">
        <f>Resíduos!H37</f>
        <v>Sem destinação</v>
      </c>
      <c r="J152" s="210" t="str">
        <f>Resíduos!I37</f>
        <v>Sem destinação</v>
      </c>
      <c r="K152" s="210" t="str">
        <f>Resíduos!J37</f>
        <v>Sem destinação</v>
      </c>
      <c r="L152" s="210" t="str">
        <f>Resíduos!K37</f>
        <v>Sem destinação</v>
      </c>
      <c r="M152" s="210" t="str">
        <f>Resíduos!L37</f>
        <v>Sem destinação</v>
      </c>
      <c r="N152" s="210" t="str">
        <f>Resíduos!M37</f>
        <v>Sem destinação</v>
      </c>
      <c r="O152" s="214" t="str">
        <f>Resíduos!N37</f>
        <v>Sem destinação</v>
      </c>
    </row>
    <row r="153" spans="1:15">
      <c r="A153" s="568" t="s">
        <v>74</v>
      </c>
      <c r="B153" s="584" t="s">
        <v>239</v>
      </c>
      <c r="C153" s="584"/>
      <c r="D153" s="198">
        <v>0</v>
      </c>
      <c r="E153" s="198">
        <v>0</v>
      </c>
      <c r="F153" s="198">
        <v>0</v>
      </c>
      <c r="G153" s="198">
        <v>0</v>
      </c>
      <c r="H153" s="198">
        <v>0</v>
      </c>
      <c r="I153" s="198" t="e">
        <f>I154+I155+I156</f>
        <v>#VALUE!</v>
      </c>
      <c r="J153" s="198" t="e">
        <f t="shared" ref="J153:O153" si="49">J154+J155+J156</f>
        <v>#VALUE!</v>
      </c>
      <c r="K153" s="198" t="e">
        <f t="shared" si="49"/>
        <v>#VALUE!</v>
      </c>
      <c r="L153" s="198" t="e">
        <f t="shared" si="49"/>
        <v>#VALUE!</v>
      </c>
      <c r="M153" s="198" t="e">
        <f t="shared" si="49"/>
        <v>#VALUE!</v>
      </c>
      <c r="N153" s="198" t="e">
        <f t="shared" si="49"/>
        <v>#VALUE!</v>
      </c>
      <c r="O153" s="199" t="e">
        <f t="shared" si="49"/>
        <v>#VALUE!</v>
      </c>
    </row>
    <row r="154" spans="1:15" s="141" customFormat="1">
      <c r="A154" s="569"/>
      <c r="B154" s="586" t="s">
        <v>6</v>
      </c>
      <c r="C154" s="586"/>
      <c r="D154" s="209" t="str">
        <f>Resíduos!C20</f>
        <v>Sem destinação</v>
      </c>
      <c r="E154" s="209" t="str">
        <f>Resíduos!D20</f>
        <v>Sem destinação</v>
      </c>
      <c r="F154" s="209" t="str">
        <f>Resíduos!E20</f>
        <v>Sem destinação</v>
      </c>
      <c r="G154" s="209" t="str">
        <f>Resíduos!F20</f>
        <v>Sem destinação</v>
      </c>
      <c r="H154" s="209" t="str">
        <f>Resíduos!G20</f>
        <v>Sem destinação</v>
      </c>
      <c r="I154" s="209" t="str">
        <f>Resíduos!H20</f>
        <v>Sem destinação</v>
      </c>
      <c r="J154" s="209" t="str">
        <f>Resíduos!I20</f>
        <v>Sem destinação</v>
      </c>
      <c r="K154" s="209" t="str">
        <f>Resíduos!J20</f>
        <v>Sem destinação</v>
      </c>
      <c r="L154" s="209" t="str">
        <f>Resíduos!K20</f>
        <v>Sem destinação</v>
      </c>
      <c r="M154" s="209" t="str">
        <f>Resíduos!L20</f>
        <v>Sem destinação</v>
      </c>
      <c r="N154" s="209" t="str">
        <f>Resíduos!M20</f>
        <v>Sem destinação</v>
      </c>
      <c r="O154" s="213" t="str">
        <f>Resíduos!N20</f>
        <v>Sem destinação</v>
      </c>
    </row>
    <row r="155" spans="1:15" s="141" customFormat="1">
      <c r="A155" s="569"/>
      <c r="B155" s="586" t="s">
        <v>14</v>
      </c>
      <c r="C155" s="586"/>
      <c r="D155" s="209" t="str">
        <f>Resíduos!C29</f>
        <v>Sem destinação</v>
      </c>
      <c r="E155" s="209" t="str">
        <f>Resíduos!D29</f>
        <v>Sem destinação</v>
      </c>
      <c r="F155" s="209" t="str">
        <f>Resíduos!E29</f>
        <v>Sem destinação</v>
      </c>
      <c r="G155" s="209" t="str">
        <f>Resíduos!F29</f>
        <v>Sem destinação</v>
      </c>
      <c r="H155" s="209" t="str">
        <f>Resíduos!G29</f>
        <v>Sem destinação</v>
      </c>
      <c r="I155" s="209" t="str">
        <f>Resíduos!H29</f>
        <v>Sem destinação</v>
      </c>
      <c r="J155" s="209" t="str">
        <f>Resíduos!I29</f>
        <v>Sem destinação</v>
      </c>
      <c r="K155" s="209" t="str">
        <f>Resíduos!J29</f>
        <v>Sem destinação</v>
      </c>
      <c r="L155" s="209" t="str">
        <f>Resíduos!K29</f>
        <v>Sem destinação</v>
      </c>
      <c r="M155" s="209" t="str">
        <f>Resíduos!L29</f>
        <v>Sem destinação</v>
      </c>
      <c r="N155" s="209" t="str">
        <f>Resíduos!M29</f>
        <v>Sem destinação</v>
      </c>
      <c r="O155" s="213" t="str">
        <f>Resíduos!N29</f>
        <v>Sem destinação</v>
      </c>
    </row>
    <row r="156" spans="1:15" s="141" customFormat="1" ht="15.75" thickBot="1">
      <c r="A156" s="585"/>
      <c r="B156" s="589" t="s">
        <v>15</v>
      </c>
      <c r="C156" s="589"/>
      <c r="D156" s="210" t="str">
        <f>Resíduos!C38</f>
        <v>Sem destinação</v>
      </c>
      <c r="E156" s="210" t="str">
        <f>Resíduos!D38</f>
        <v>Sem destinação</v>
      </c>
      <c r="F156" s="210" t="str">
        <f>Resíduos!E38</f>
        <v>Sem destinação</v>
      </c>
      <c r="G156" s="210" t="str">
        <f>Resíduos!F38</f>
        <v>Sem destinação</v>
      </c>
      <c r="H156" s="210" t="str">
        <f>Resíduos!G38</f>
        <v>Sem destinação</v>
      </c>
      <c r="I156" s="210" t="str">
        <f>Resíduos!H38</f>
        <v>Sem destinação</v>
      </c>
      <c r="J156" s="210" t="str">
        <f>Resíduos!I38</f>
        <v>Sem destinação</v>
      </c>
      <c r="K156" s="210" t="str">
        <f>Resíduos!J38</f>
        <v>Sem destinação</v>
      </c>
      <c r="L156" s="210" t="str">
        <f>Resíduos!K38</f>
        <v>Sem destinação</v>
      </c>
      <c r="M156" s="210" t="str">
        <f>Resíduos!L38</f>
        <v>Sem destinação</v>
      </c>
      <c r="N156" s="210" t="str">
        <f>Resíduos!M38</f>
        <v>Sem destinação</v>
      </c>
      <c r="O156" s="214" t="str">
        <f>Resíduos!N38</f>
        <v>Sem destinação</v>
      </c>
    </row>
    <row r="157" spans="1:15" ht="30.75" customHeight="1">
      <c r="A157" s="568" t="s">
        <v>75</v>
      </c>
      <c r="B157" s="584" t="s">
        <v>240</v>
      </c>
      <c r="C157" s="584"/>
      <c r="D157" s="198">
        <v>0</v>
      </c>
      <c r="E157" s="198">
        <v>0</v>
      </c>
      <c r="F157" s="198">
        <v>0</v>
      </c>
      <c r="G157" s="198">
        <v>0</v>
      </c>
      <c r="H157" s="198">
        <v>0</v>
      </c>
      <c r="I157" s="198" t="e">
        <f>I158+I159+I160</f>
        <v>#VALUE!</v>
      </c>
      <c r="J157" s="198" t="e">
        <f t="shared" ref="J157:O157" si="50">J158+J159+J160</f>
        <v>#VALUE!</v>
      </c>
      <c r="K157" s="198" t="e">
        <f t="shared" si="50"/>
        <v>#VALUE!</v>
      </c>
      <c r="L157" s="198" t="e">
        <f t="shared" si="50"/>
        <v>#VALUE!</v>
      </c>
      <c r="M157" s="198" t="e">
        <f t="shared" si="50"/>
        <v>#VALUE!</v>
      </c>
      <c r="N157" s="198" t="e">
        <f t="shared" si="50"/>
        <v>#VALUE!</v>
      </c>
      <c r="O157" s="199" t="e">
        <f t="shared" si="50"/>
        <v>#VALUE!</v>
      </c>
    </row>
    <row r="158" spans="1:15" s="141" customFormat="1">
      <c r="A158" s="569"/>
      <c r="B158" s="586" t="s">
        <v>6</v>
      </c>
      <c r="C158" s="586"/>
      <c r="D158" s="209" t="str">
        <f>Resíduos!C21</f>
        <v>Sem destinação</v>
      </c>
      <c r="E158" s="209" t="str">
        <f>Resíduos!D21</f>
        <v>Sem destinação</v>
      </c>
      <c r="F158" s="209" t="str">
        <f>Resíduos!E21</f>
        <v>Sem destinação</v>
      </c>
      <c r="G158" s="209" t="str">
        <f>Resíduos!F21</f>
        <v>Sem destinação</v>
      </c>
      <c r="H158" s="209" t="str">
        <f>Resíduos!G21</f>
        <v>Sem destinação</v>
      </c>
      <c r="I158" s="209" t="str">
        <f>Resíduos!H21</f>
        <v>Sem destinação</v>
      </c>
      <c r="J158" s="209" t="str">
        <f>Resíduos!I21</f>
        <v>Sem destinação</v>
      </c>
      <c r="K158" s="209" t="str">
        <f>Resíduos!J21</f>
        <v>Sem destinação</v>
      </c>
      <c r="L158" s="209" t="str">
        <f>Resíduos!K21</f>
        <v>Sem destinação</v>
      </c>
      <c r="M158" s="209" t="str">
        <f>Resíduos!L21</f>
        <v>Sem destinação</v>
      </c>
      <c r="N158" s="209" t="str">
        <f>Resíduos!M21</f>
        <v>Sem destinação</v>
      </c>
      <c r="O158" s="213" t="str">
        <f>Resíduos!N21</f>
        <v>Sem destinação</v>
      </c>
    </row>
    <row r="159" spans="1:15" s="141" customFormat="1">
      <c r="A159" s="569"/>
      <c r="B159" s="586" t="s">
        <v>14</v>
      </c>
      <c r="C159" s="586"/>
      <c r="D159" s="209" t="str">
        <f>Resíduos!C30</f>
        <v>Sem destinação</v>
      </c>
      <c r="E159" s="209" t="str">
        <f>Resíduos!D30</f>
        <v>Sem destinação</v>
      </c>
      <c r="F159" s="209" t="str">
        <f>Resíduos!E30</f>
        <v>Sem destinação</v>
      </c>
      <c r="G159" s="209" t="str">
        <f>Resíduos!F30</f>
        <v>Sem destinação</v>
      </c>
      <c r="H159" s="209" t="str">
        <f>Resíduos!G30</f>
        <v>Sem destinação</v>
      </c>
      <c r="I159" s="209" t="str">
        <f>Resíduos!H30</f>
        <v>Sem destinação</v>
      </c>
      <c r="J159" s="209" t="str">
        <f>Resíduos!I30</f>
        <v>Sem destinação</v>
      </c>
      <c r="K159" s="209" t="str">
        <f>Resíduos!J30</f>
        <v>Sem destinação</v>
      </c>
      <c r="L159" s="209" t="str">
        <f>Resíduos!K30</f>
        <v>Sem destinação</v>
      </c>
      <c r="M159" s="209" t="str">
        <f>Resíduos!L30</f>
        <v>Sem destinação</v>
      </c>
      <c r="N159" s="209" t="str">
        <f>Resíduos!M30</f>
        <v>Sem destinação</v>
      </c>
      <c r="O159" s="213" t="str">
        <f>Resíduos!N30</f>
        <v>Sem destinação</v>
      </c>
    </row>
    <row r="160" spans="1:15" s="141" customFormat="1" ht="15.75" thickBot="1">
      <c r="A160" s="585"/>
      <c r="B160" s="589" t="s">
        <v>15</v>
      </c>
      <c r="C160" s="589"/>
      <c r="D160" s="210" t="str">
        <f>Resíduos!C39</f>
        <v>Sem destinação</v>
      </c>
      <c r="E160" s="210" t="str">
        <f>Resíduos!D39</f>
        <v>Sem destinação</v>
      </c>
      <c r="F160" s="210" t="str">
        <f>Resíduos!E39</f>
        <v>Sem destinação</v>
      </c>
      <c r="G160" s="210" t="str">
        <f>Resíduos!F39</f>
        <v>Sem destinação</v>
      </c>
      <c r="H160" s="210" t="str">
        <f>Resíduos!G39</f>
        <v>Sem destinação</v>
      </c>
      <c r="I160" s="210" t="str">
        <f>Resíduos!H39</f>
        <v>Sem destinação</v>
      </c>
      <c r="J160" s="210" t="str">
        <f>Resíduos!I39</f>
        <v>Sem destinação</v>
      </c>
      <c r="K160" s="210" t="str">
        <f>Resíduos!J39</f>
        <v>Sem destinação</v>
      </c>
      <c r="L160" s="210" t="str">
        <f>Resíduos!K39</f>
        <v>Sem destinação</v>
      </c>
      <c r="M160" s="210" t="str">
        <f>Resíduos!L39</f>
        <v>Sem destinação</v>
      </c>
      <c r="N160" s="210" t="str">
        <f>Resíduos!M39</f>
        <v>Sem destinação</v>
      </c>
      <c r="O160" s="214" t="str">
        <f>Resíduos!N39</f>
        <v>Sem destinação</v>
      </c>
    </row>
    <row r="161" spans="1:15" ht="30.75" customHeight="1">
      <c r="A161" s="568" t="s">
        <v>76</v>
      </c>
      <c r="B161" s="584" t="s">
        <v>241</v>
      </c>
      <c r="C161" s="584"/>
      <c r="D161" s="198">
        <v>0</v>
      </c>
      <c r="E161" s="198">
        <v>0</v>
      </c>
      <c r="F161" s="198">
        <v>0</v>
      </c>
      <c r="G161" s="198">
        <v>0</v>
      </c>
      <c r="H161" s="198">
        <v>0</v>
      </c>
      <c r="I161" s="198" t="e">
        <f>I162+I163+I164</f>
        <v>#VALUE!</v>
      </c>
      <c r="J161" s="198" t="e">
        <f t="shared" ref="J161:O161" si="51">J162+J163+J164</f>
        <v>#VALUE!</v>
      </c>
      <c r="K161" s="198" t="e">
        <f t="shared" si="51"/>
        <v>#VALUE!</v>
      </c>
      <c r="L161" s="198" t="e">
        <f t="shared" si="51"/>
        <v>#VALUE!</v>
      </c>
      <c r="M161" s="198" t="e">
        <f t="shared" si="51"/>
        <v>#VALUE!</v>
      </c>
      <c r="N161" s="198" t="e">
        <f t="shared" si="51"/>
        <v>#VALUE!</v>
      </c>
      <c r="O161" s="199" t="e">
        <f t="shared" si="51"/>
        <v>#VALUE!</v>
      </c>
    </row>
    <row r="162" spans="1:15" s="141" customFormat="1">
      <c r="A162" s="569"/>
      <c r="B162" s="586" t="s">
        <v>6</v>
      </c>
      <c r="C162" s="586"/>
      <c r="D162" s="209" t="str">
        <f>Resíduos!C22</f>
        <v>Sem destinação</v>
      </c>
      <c r="E162" s="209" t="str">
        <f>Resíduos!D22</f>
        <v>Sem destinação</v>
      </c>
      <c r="F162" s="209" t="str">
        <f>Resíduos!E22</f>
        <v>Sem destinação</v>
      </c>
      <c r="G162" s="209" t="str">
        <f>Resíduos!F22</f>
        <v>Sem destinação</v>
      </c>
      <c r="H162" s="209" t="str">
        <f>Resíduos!G22</f>
        <v>Sem destinação</v>
      </c>
      <c r="I162" s="209" t="str">
        <f>Resíduos!H22</f>
        <v>Sem destinação</v>
      </c>
      <c r="J162" s="209" t="str">
        <f>Resíduos!I22</f>
        <v>Sem destinação</v>
      </c>
      <c r="K162" s="209" t="str">
        <f>Resíduos!J22</f>
        <v>Sem destinação</v>
      </c>
      <c r="L162" s="209" t="str">
        <f>Resíduos!K22</f>
        <v>Sem destinação</v>
      </c>
      <c r="M162" s="209" t="str">
        <f>Resíduos!L22</f>
        <v>Sem destinação</v>
      </c>
      <c r="N162" s="209" t="str">
        <f>Resíduos!M22</f>
        <v>Sem destinação</v>
      </c>
      <c r="O162" s="213" t="str">
        <f>Resíduos!N22</f>
        <v>Sem destinação</v>
      </c>
    </row>
    <row r="163" spans="1:15" s="141" customFormat="1">
      <c r="A163" s="569"/>
      <c r="B163" s="586" t="s">
        <v>14</v>
      </c>
      <c r="C163" s="586"/>
      <c r="D163" s="209" t="str">
        <f>Resíduos!C31</f>
        <v>Sem destinação</v>
      </c>
      <c r="E163" s="209" t="str">
        <f>Resíduos!D31</f>
        <v>Sem destinação</v>
      </c>
      <c r="F163" s="209" t="str">
        <f>Resíduos!E31</f>
        <v>Sem destinação</v>
      </c>
      <c r="G163" s="209" t="str">
        <f>Resíduos!F31</f>
        <v>Sem destinação</v>
      </c>
      <c r="H163" s="209" t="str">
        <f>Resíduos!G31</f>
        <v>Sem destinação</v>
      </c>
      <c r="I163" s="209" t="str">
        <f>Resíduos!H31</f>
        <v>Sem destinação</v>
      </c>
      <c r="J163" s="209" t="str">
        <f>Resíduos!I31</f>
        <v>Sem destinação</v>
      </c>
      <c r="K163" s="209" t="str">
        <f>Resíduos!J31</f>
        <v>Sem destinação</v>
      </c>
      <c r="L163" s="209" t="str">
        <f>Resíduos!K31</f>
        <v>Sem destinação</v>
      </c>
      <c r="M163" s="209" t="str">
        <f>Resíduos!L31</f>
        <v>Sem destinação</v>
      </c>
      <c r="N163" s="209" t="str">
        <f>Resíduos!M31</f>
        <v>Sem destinação</v>
      </c>
      <c r="O163" s="213" t="str">
        <f>Resíduos!N31</f>
        <v>Sem destinação</v>
      </c>
    </row>
    <row r="164" spans="1:15" s="141" customFormat="1" ht="15.75" thickBot="1">
      <c r="A164" s="585"/>
      <c r="B164" s="589" t="s">
        <v>15</v>
      </c>
      <c r="C164" s="589"/>
      <c r="D164" s="210" t="str">
        <f>Resíduos!C40</f>
        <v>Sem destinação</v>
      </c>
      <c r="E164" s="210" t="str">
        <f>Resíduos!D40</f>
        <v>Sem destinação</v>
      </c>
      <c r="F164" s="210" t="str">
        <f>Resíduos!E40</f>
        <v>Sem destinação</v>
      </c>
      <c r="G164" s="210" t="str">
        <f>Resíduos!F40</f>
        <v>Sem destinação</v>
      </c>
      <c r="H164" s="210" t="str">
        <f>Resíduos!G40</f>
        <v>Sem destinação</v>
      </c>
      <c r="I164" s="210" t="str">
        <f>Resíduos!H40</f>
        <v>Sem destinação</v>
      </c>
      <c r="J164" s="210" t="str">
        <f>Resíduos!I40</f>
        <v>Sem destinação</v>
      </c>
      <c r="K164" s="210" t="str">
        <f>Resíduos!J40</f>
        <v>Sem destinação</v>
      </c>
      <c r="L164" s="210" t="str">
        <f>Resíduos!K40</f>
        <v>Sem destinação</v>
      </c>
      <c r="M164" s="210" t="str">
        <f>Resíduos!L40</f>
        <v>Sem destinação</v>
      </c>
      <c r="N164" s="210" t="str">
        <f>Resíduos!M40</f>
        <v>Sem destinação</v>
      </c>
      <c r="O164" s="214" t="str">
        <f>Resíduos!N40</f>
        <v>Sem destinação</v>
      </c>
    </row>
    <row r="165" spans="1:15">
      <c r="A165" s="568" t="s">
        <v>77</v>
      </c>
      <c r="B165" s="584" t="s">
        <v>242</v>
      </c>
      <c r="C165" s="584"/>
      <c r="D165" s="198">
        <v>0</v>
      </c>
      <c r="E165" s="198">
        <v>0</v>
      </c>
      <c r="F165" s="198">
        <v>0</v>
      </c>
      <c r="G165" s="198">
        <v>0</v>
      </c>
      <c r="H165" s="198">
        <v>0</v>
      </c>
      <c r="I165" s="198">
        <v>0</v>
      </c>
      <c r="J165" s="198" t="e">
        <f t="shared" ref="J165:O165" si="52">J166+J167+J168</f>
        <v>#VALUE!</v>
      </c>
      <c r="K165" s="198" t="e">
        <f t="shared" si="52"/>
        <v>#VALUE!</v>
      </c>
      <c r="L165" s="198" t="e">
        <f t="shared" si="52"/>
        <v>#VALUE!</v>
      </c>
      <c r="M165" s="198" t="e">
        <f t="shared" si="52"/>
        <v>#VALUE!</v>
      </c>
      <c r="N165" s="198" t="e">
        <f t="shared" si="52"/>
        <v>#VALUE!</v>
      </c>
      <c r="O165" s="199" t="e">
        <f t="shared" si="52"/>
        <v>#VALUE!</v>
      </c>
    </row>
    <row r="166" spans="1:15" s="141" customFormat="1">
      <c r="A166" s="569"/>
      <c r="B166" s="586" t="s">
        <v>6</v>
      </c>
      <c r="C166" s="586"/>
      <c r="D166" s="209" t="str">
        <f>Resíduos!C23</f>
        <v>Sem destinação</v>
      </c>
      <c r="E166" s="209" t="str">
        <f>Resíduos!D23</f>
        <v>Sem destinação</v>
      </c>
      <c r="F166" s="209" t="str">
        <f>Resíduos!E23</f>
        <v>Sem destinação</v>
      </c>
      <c r="G166" s="209" t="str">
        <f>Resíduos!F23</f>
        <v>Sem destinação</v>
      </c>
      <c r="H166" s="209" t="str">
        <f>Resíduos!G23</f>
        <v>Sem destinação</v>
      </c>
      <c r="I166" s="209" t="str">
        <f>Resíduos!H23</f>
        <v>Sem destinação</v>
      </c>
      <c r="J166" s="209" t="str">
        <f>Resíduos!I23</f>
        <v>Sem destinação</v>
      </c>
      <c r="K166" s="209" t="str">
        <f>Resíduos!J23</f>
        <v>Sem destinação</v>
      </c>
      <c r="L166" s="209" t="str">
        <f>Resíduos!K23</f>
        <v>Sem destinação</v>
      </c>
      <c r="M166" s="209" t="str">
        <f>Resíduos!L23</f>
        <v>Sem destinação</v>
      </c>
      <c r="N166" s="209" t="str">
        <f>Resíduos!M23</f>
        <v>Sem destinação</v>
      </c>
      <c r="O166" s="213" t="str">
        <f>Resíduos!N23</f>
        <v>Sem destinação</v>
      </c>
    </row>
    <row r="167" spans="1:15" s="141" customFormat="1">
      <c r="A167" s="569"/>
      <c r="B167" s="586" t="s">
        <v>14</v>
      </c>
      <c r="C167" s="586"/>
      <c r="D167" s="209" t="str">
        <f>Resíduos!C32</f>
        <v>Sem destinação</v>
      </c>
      <c r="E167" s="209" t="str">
        <f>Resíduos!D32</f>
        <v>Sem destinação</v>
      </c>
      <c r="F167" s="209" t="str">
        <f>Resíduos!E32</f>
        <v>Sem destinação</v>
      </c>
      <c r="G167" s="209" t="str">
        <f>Resíduos!F32</f>
        <v>Sem destinação</v>
      </c>
      <c r="H167" s="209" t="str">
        <f>Resíduos!G32</f>
        <v>Sem destinação</v>
      </c>
      <c r="I167" s="209" t="str">
        <f>Resíduos!H32</f>
        <v>Sem destinação</v>
      </c>
      <c r="J167" s="209" t="str">
        <f>Resíduos!I32</f>
        <v>Sem destinação</v>
      </c>
      <c r="K167" s="209" t="str">
        <f>Resíduos!J32</f>
        <v>Sem destinação</v>
      </c>
      <c r="L167" s="209" t="str">
        <f>Resíduos!K32</f>
        <v>Sem destinação</v>
      </c>
      <c r="M167" s="209" t="str">
        <f>Resíduos!L32</f>
        <v>Sem destinação</v>
      </c>
      <c r="N167" s="209" t="str">
        <f>Resíduos!M32</f>
        <v>Sem destinação</v>
      </c>
      <c r="O167" s="213" t="str">
        <f>Resíduos!N32</f>
        <v>Sem destinação</v>
      </c>
    </row>
    <row r="168" spans="1:15" s="141" customFormat="1" ht="15.75" thickBot="1">
      <c r="A168" s="585"/>
      <c r="B168" s="589" t="s">
        <v>15</v>
      </c>
      <c r="C168" s="589"/>
      <c r="D168" s="210" t="str">
        <f>Resíduos!C41</f>
        <v>Sem destinação</v>
      </c>
      <c r="E168" s="210" t="str">
        <f>Resíduos!D41</f>
        <v>Sem destinação</v>
      </c>
      <c r="F168" s="210" t="str">
        <f>Resíduos!E41</f>
        <v>Sem destinação</v>
      </c>
      <c r="G168" s="210" t="str">
        <f>Resíduos!F41</f>
        <v>Sem destinação</v>
      </c>
      <c r="H168" s="210" t="str">
        <f>Resíduos!G41</f>
        <v>Sem destinação</v>
      </c>
      <c r="I168" s="210" t="str">
        <f>Resíduos!H41</f>
        <v>Sem destinação</v>
      </c>
      <c r="J168" s="210" t="str">
        <f>Resíduos!I41</f>
        <v>Sem destinação</v>
      </c>
      <c r="K168" s="210" t="str">
        <f>Resíduos!J41</f>
        <v>Sem destinação</v>
      </c>
      <c r="L168" s="210" t="str">
        <f>Resíduos!K41</f>
        <v>Sem destinação</v>
      </c>
      <c r="M168" s="210" t="str">
        <f>Resíduos!L41</f>
        <v>Sem destinação</v>
      </c>
      <c r="N168" s="210" t="str">
        <f>Resíduos!M41</f>
        <v>Sem destinação</v>
      </c>
      <c r="O168" s="214" t="str">
        <f>Resíduos!N41</f>
        <v>Sem destinação</v>
      </c>
    </row>
    <row r="169" spans="1:15">
      <c r="A169" s="568" t="s">
        <v>78</v>
      </c>
      <c r="B169" s="584" t="s">
        <v>243</v>
      </c>
      <c r="C169" s="584"/>
      <c r="D169" s="198">
        <v>0</v>
      </c>
      <c r="E169" s="198">
        <v>0</v>
      </c>
      <c r="F169" s="198">
        <v>0</v>
      </c>
      <c r="G169" s="198">
        <v>0</v>
      </c>
      <c r="H169" s="198">
        <v>0</v>
      </c>
      <c r="I169" s="198" t="e">
        <f>I170+I171+I172</f>
        <v>#VALUE!</v>
      </c>
      <c r="J169" s="198" t="e">
        <f t="shared" ref="J169:O169" si="53">J170+J171+J172</f>
        <v>#VALUE!</v>
      </c>
      <c r="K169" s="198" t="e">
        <f t="shared" si="53"/>
        <v>#VALUE!</v>
      </c>
      <c r="L169" s="198" t="e">
        <f t="shared" si="53"/>
        <v>#VALUE!</v>
      </c>
      <c r="M169" s="198" t="e">
        <f t="shared" si="53"/>
        <v>#VALUE!</v>
      </c>
      <c r="N169" s="198" t="e">
        <f t="shared" si="53"/>
        <v>#VALUE!</v>
      </c>
      <c r="O169" s="199" t="e">
        <f t="shared" si="53"/>
        <v>#VALUE!</v>
      </c>
    </row>
    <row r="170" spans="1:15" s="141" customFormat="1">
      <c r="A170" s="569"/>
      <c r="B170" s="586" t="s">
        <v>6</v>
      </c>
      <c r="C170" s="586"/>
      <c r="D170" s="209" t="str">
        <f>Resíduos!C24</f>
        <v>Sem destinação</v>
      </c>
      <c r="E170" s="209" t="str">
        <f>Resíduos!D24</f>
        <v>Sem destinação</v>
      </c>
      <c r="F170" s="209" t="str">
        <f>Resíduos!E24</f>
        <v>Sem destinação</v>
      </c>
      <c r="G170" s="209" t="str">
        <f>Resíduos!F24</f>
        <v>Sem destinação</v>
      </c>
      <c r="H170" s="209" t="str">
        <f>Resíduos!G24</f>
        <v>Sem destinação</v>
      </c>
      <c r="I170" s="209" t="str">
        <f>Resíduos!H24</f>
        <v>Sem destinação</v>
      </c>
      <c r="J170" s="209" t="str">
        <f>Resíduos!I24</f>
        <v>Sem destinação</v>
      </c>
      <c r="K170" s="209" t="str">
        <f>Resíduos!J24</f>
        <v>Sem destinação</v>
      </c>
      <c r="L170" s="209" t="str">
        <f>Resíduos!K24</f>
        <v>Sem destinação</v>
      </c>
      <c r="M170" s="209" t="str">
        <f>Resíduos!L24</f>
        <v>Sem destinação</v>
      </c>
      <c r="N170" s="209" t="str">
        <f>Resíduos!M24</f>
        <v>Sem destinação</v>
      </c>
      <c r="O170" s="213" t="str">
        <f>Resíduos!N24</f>
        <v>Sem destinação</v>
      </c>
    </row>
    <row r="171" spans="1:15" s="141" customFormat="1">
      <c r="A171" s="569"/>
      <c r="B171" s="586" t="s">
        <v>14</v>
      </c>
      <c r="C171" s="586"/>
      <c r="D171" s="209" t="str">
        <f>Resíduos!C33</f>
        <v>Sem destinação</v>
      </c>
      <c r="E171" s="209" t="str">
        <f>Resíduos!D33</f>
        <v>Sem destinação</v>
      </c>
      <c r="F171" s="209" t="str">
        <f>Resíduos!E33</f>
        <v>Sem destinação</v>
      </c>
      <c r="G171" s="209" t="str">
        <f>Resíduos!F33</f>
        <v>Sem destinação</v>
      </c>
      <c r="H171" s="209" t="str">
        <f>Resíduos!G33</f>
        <v>Sem destinação</v>
      </c>
      <c r="I171" s="209" t="str">
        <f>Resíduos!H33</f>
        <v>Sem destinação</v>
      </c>
      <c r="J171" s="209" t="str">
        <f>Resíduos!I33</f>
        <v>Sem destinação</v>
      </c>
      <c r="K171" s="209" t="str">
        <f>Resíduos!J33</f>
        <v>Sem destinação</v>
      </c>
      <c r="L171" s="209" t="str">
        <f>Resíduos!K33</f>
        <v>Sem destinação</v>
      </c>
      <c r="M171" s="209" t="str">
        <f>Resíduos!L33</f>
        <v>Sem destinação</v>
      </c>
      <c r="N171" s="209" t="str">
        <f>Resíduos!M33</f>
        <v>Sem destinação</v>
      </c>
      <c r="O171" s="213" t="str">
        <f>Resíduos!N33</f>
        <v>Sem destinação</v>
      </c>
    </row>
    <row r="172" spans="1:15" s="141" customFormat="1" ht="15.75" thickBot="1">
      <c r="A172" s="585"/>
      <c r="B172" s="589" t="s">
        <v>15</v>
      </c>
      <c r="C172" s="589"/>
      <c r="D172" s="210" t="str">
        <f>Resíduos!C42</f>
        <v>Sem destinação</v>
      </c>
      <c r="E172" s="210" t="str">
        <f>Resíduos!D42</f>
        <v>Sem destinação</v>
      </c>
      <c r="F172" s="210" t="str">
        <f>Resíduos!E42</f>
        <v>Sem destinação</v>
      </c>
      <c r="G172" s="210" t="str">
        <f>Resíduos!F42</f>
        <v>Sem destinação</v>
      </c>
      <c r="H172" s="210" t="str">
        <f>Resíduos!G42</f>
        <v>Sem destinação</v>
      </c>
      <c r="I172" s="210" t="str">
        <f>Resíduos!H42</f>
        <v>Sem destinação</v>
      </c>
      <c r="J172" s="210" t="str">
        <f>Resíduos!I42</f>
        <v>Sem destinação</v>
      </c>
      <c r="K172" s="210" t="str">
        <f>Resíduos!J42</f>
        <v>Sem destinação</v>
      </c>
      <c r="L172" s="210" t="str">
        <f>Resíduos!K42</f>
        <v>Sem destinação</v>
      </c>
      <c r="M172" s="210" t="str">
        <f>Resíduos!L42</f>
        <v>Sem destinação</v>
      </c>
      <c r="N172" s="210" t="str">
        <f>Resíduos!M42</f>
        <v>Sem destinação</v>
      </c>
      <c r="O172" s="214" t="str">
        <f>Resíduos!N42</f>
        <v>Sem destinação</v>
      </c>
    </row>
    <row r="173" spans="1:15">
      <c r="A173" s="568" t="s">
        <v>79</v>
      </c>
      <c r="B173" s="584" t="s">
        <v>244</v>
      </c>
      <c r="C173" s="584"/>
      <c r="D173" s="198">
        <v>0</v>
      </c>
      <c r="E173" s="198">
        <v>0</v>
      </c>
      <c r="F173" s="198">
        <v>0</v>
      </c>
      <c r="G173" s="198">
        <v>0</v>
      </c>
      <c r="H173" s="198">
        <v>0</v>
      </c>
      <c r="I173" s="198" t="e">
        <f>I174+I175+I176</f>
        <v>#VALUE!</v>
      </c>
      <c r="J173" s="198" t="e">
        <f t="shared" ref="J173:O173" si="54">J174+J175+J176</f>
        <v>#VALUE!</v>
      </c>
      <c r="K173" s="198" t="e">
        <f t="shared" si="54"/>
        <v>#VALUE!</v>
      </c>
      <c r="L173" s="198" t="e">
        <f t="shared" si="54"/>
        <v>#VALUE!</v>
      </c>
      <c r="M173" s="198" t="e">
        <f t="shared" si="54"/>
        <v>#VALUE!</v>
      </c>
      <c r="N173" s="198" t="e">
        <f t="shared" si="54"/>
        <v>#VALUE!</v>
      </c>
      <c r="O173" s="199" t="e">
        <f t="shared" si="54"/>
        <v>#VALUE!</v>
      </c>
    </row>
    <row r="174" spans="1:15" s="141" customFormat="1">
      <c r="A174" s="569"/>
      <c r="B174" s="586" t="s">
        <v>6</v>
      </c>
      <c r="C174" s="586"/>
      <c r="D174" s="209" t="str">
        <f>Resíduos!C25</f>
        <v>Sem destinação</v>
      </c>
      <c r="E174" s="209" t="str">
        <f>Resíduos!D25</f>
        <v>Sem destinação</v>
      </c>
      <c r="F174" s="209" t="str">
        <f>Resíduos!E25</f>
        <v>Sem destinação</v>
      </c>
      <c r="G174" s="209" t="str">
        <f>Resíduos!F25</f>
        <v>Sem destinação</v>
      </c>
      <c r="H174" s="209" t="str">
        <f>Resíduos!G25</f>
        <v>Sem destinação</v>
      </c>
      <c r="I174" s="209" t="str">
        <f>Resíduos!H25</f>
        <v>Sem destinação</v>
      </c>
      <c r="J174" s="209" t="str">
        <f>Resíduos!I25</f>
        <v>Sem destinação</v>
      </c>
      <c r="K174" s="209" t="str">
        <f>Resíduos!J25</f>
        <v>Sem destinação</v>
      </c>
      <c r="L174" s="209" t="str">
        <f>Resíduos!K25</f>
        <v>Sem destinação</v>
      </c>
      <c r="M174" s="209" t="str">
        <f>Resíduos!L25</f>
        <v>Sem destinação</v>
      </c>
      <c r="N174" s="209" t="str">
        <f>Resíduos!M25</f>
        <v>Sem destinação</v>
      </c>
      <c r="O174" s="213" t="str">
        <f>Resíduos!N25</f>
        <v>Sem destinação</v>
      </c>
    </row>
    <row r="175" spans="1:15" s="141" customFormat="1">
      <c r="A175" s="569"/>
      <c r="B175" s="586" t="s">
        <v>14</v>
      </c>
      <c r="C175" s="586"/>
      <c r="D175" s="209" t="str">
        <f>Resíduos!C34</f>
        <v>Sem destinação</v>
      </c>
      <c r="E175" s="209" t="str">
        <f>Resíduos!D34</f>
        <v>Sem destinação</v>
      </c>
      <c r="F175" s="209" t="str">
        <f>Resíduos!E34</f>
        <v>Sem destinação</v>
      </c>
      <c r="G175" s="209" t="str">
        <f>Resíduos!F34</f>
        <v>Sem destinação</v>
      </c>
      <c r="H175" s="209" t="str">
        <f>Resíduos!G34</f>
        <v>Sem destinação</v>
      </c>
      <c r="I175" s="209" t="str">
        <f>Resíduos!H34</f>
        <v>Sem destinação</v>
      </c>
      <c r="J175" s="209" t="str">
        <f>Resíduos!I34</f>
        <v>Sem destinação</v>
      </c>
      <c r="K175" s="209" t="str">
        <f>Resíduos!J34</f>
        <v>Sem destinação</v>
      </c>
      <c r="L175" s="209" t="str">
        <f>Resíduos!K34</f>
        <v>Sem destinação</v>
      </c>
      <c r="M175" s="209" t="str">
        <f>Resíduos!L34</f>
        <v>Sem destinação</v>
      </c>
      <c r="N175" s="209" t="str">
        <f>Resíduos!M34</f>
        <v>Sem destinação</v>
      </c>
      <c r="O175" s="213" t="str">
        <f>Resíduos!N34</f>
        <v>Sem destinação</v>
      </c>
    </row>
    <row r="176" spans="1:15" s="141" customFormat="1" ht="15.75" thickBot="1">
      <c r="A176" s="585"/>
      <c r="B176" s="589" t="s">
        <v>15</v>
      </c>
      <c r="C176" s="589"/>
      <c r="D176" s="210" t="str">
        <f>Resíduos!C43</f>
        <v>Sem destinação</v>
      </c>
      <c r="E176" s="210" t="str">
        <f>Resíduos!D43</f>
        <v>Sem destinação</v>
      </c>
      <c r="F176" s="210" t="str">
        <f>Resíduos!E43</f>
        <v>Sem destinação</v>
      </c>
      <c r="G176" s="210" t="str">
        <f>Resíduos!F43</f>
        <v>Sem destinação</v>
      </c>
      <c r="H176" s="210" t="str">
        <f>Resíduos!G43</f>
        <v>Sem destinação</v>
      </c>
      <c r="I176" s="210" t="str">
        <f>Resíduos!H43</f>
        <v>Sem destinação</v>
      </c>
      <c r="J176" s="210" t="str">
        <f>Resíduos!I43</f>
        <v>Sem destinação</v>
      </c>
      <c r="K176" s="210" t="str">
        <f>Resíduos!J43</f>
        <v>Sem destinação</v>
      </c>
      <c r="L176" s="210" t="str">
        <f>Resíduos!K43</f>
        <v>Sem destinação</v>
      </c>
      <c r="M176" s="210" t="str">
        <f>Resíduos!L43</f>
        <v>Sem destinação</v>
      </c>
      <c r="N176" s="210" t="str">
        <f>Resíduos!M43</f>
        <v>Sem destinação</v>
      </c>
      <c r="O176" s="214" t="str">
        <f>Resíduos!N43</f>
        <v>Sem destinação</v>
      </c>
    </row>
    <row r="177" spans="1:15" ht="30" customHeight="1">
      <c r="A177" s="568" t="s">
        <v>80</v>
      </c>
      <c r="B177" s="584" t="s">
        <v>245</v>
      </c>
      <c r="C177" s="584"/>
      <c r="D177" s="198">
        <v>0</v>
      </c>
      <c r="E177" s="198">
        <v>0</v>
      </c>
      <c r="F177" s="341">
        <f t="shared" ref="F177:O177" si="55">F178</f>
        <v>1.4750000000000001</v>
      </c>
      <c r="G177" s="341">
        <f t="shared" si="55"/>
        <v>1.83</v>
      </c>
      <c r="H177" s="341">
        <f t="shared" si="55"/>
        <v>1.2</v>
      </c>
      <c r="I177" s="341">
        <f t="shared" si="55"/>
        <v>1.52</v>
      </c>
      <c r="J177" s="341">
        <f t="shared" si="55"/>
        <v>0.96</v>
      </c>
      <c r="K177" s="341">
        <f t="shared" si="55"/>
        <v>0.85</v>
      </c>
      <c r="L177" s="341">
        <f t="shared" si="55"/>
        <v>0.3</v>
      </c>
      <c r="M177" s="341">
        <f t="shared" si="55"/>
        <v>0.72</v>
      </c>
      <c r="N177" s="341">
        <f t="shared" si="55"/>
        <v>0.81499999999999995</v>
      </c>
      <c r="O177" s="341">
        <f t="shared" si="55"/>
        <v>0.6</v>
      </c>
    </row>
    <row r="178" spans="1:15" s="141" customFormat="1">
      <c r="A178" s="569"/>
      <c r="B178" s="586" t="s">
        <v>6</v>
      </c>
      <c r="C178" s="586"/>
      <c r="D178" s="209">
        <f>Resíduos!C26</f>
        <v>0.36</v>
      </c>
      <c r="E178" s="209">
        <f>Resíduos!D26</f>
        <v>0.74</v>
      </c>
      <c r="F178" s="339">
        <f>Resíduos!E26</f>
        <v>1.4750000000000001</v>
      </c>
      <c r="G178" s="339">
        <f>Resíduos!F26</f>
        <v>1.83</v>
      </c>
      <c r="H178" s="339">
        <f>Resíduos!G26</f>
        <v>1.2</v>
      </c>
      <c r="I178" s="339">
        <f>Resíduos!H26</f>
        <v>1.52</v>
      </c>
      <c r="J178" s="339">
        <f>Resíduos!I26</f>
        <v>0.96</v>
      </c>
      <c r="K178" s="339">
        <f>Resíduos!J26</f>
        <v>0.85</v>
      </c>
      <c r="L178" s="339">
        <f>Resíduos!K26</f>
        <v>0.3</v>
      </c>
      <c r="M178" s="339">
        <f>Resíduos!L26</f>
        <v>0.72</v>
      </c>
      <c r="N178" s="339">
        <f>Resíduos!M26</f>
        <v>0.81499999999999995</v>
      </c>
      <c r="O178" s="340">
        <f>Resíduos!N26</f>
        <v>0.6</v>
      </c>
    </row>
    <row r="179" spans="1:15" s="141" customFormat="1">
      <c r="A179" s="569"/>
      <c r="B179" s="586" t="s">
        <v>14</v>
      </c>
      <c r="C179" s="586"/>
      <c r="D179" s="209" t="str">
        <f>Resíduos!C35</f>
        <v>Sem destinação</v>
      </c>
      <c r="E179" s="209" t="str">
        <f>Resíduos!D35</f>
        <v>Sem destinação</v>
      </c>
      <c r="F179" s="209" t="str">
        <f>Resíduos!E35</f>
        <v>Sem destinação</v>
      </c>
      <c r="G179" s="209" t="str">
        <f>Resíduos!F35</f>
        <v>Sem destinação</v>
      </c>
      <c r="H179" s="209" t="str">
        <f>Resíduos!G35</f>
        <v>Sem destinação</v>
      </c>
      <c r="I179" s="209" t="str">
        <f>Resíduos!H35</f>
        <v>Sem destinação</v>
      </c>
      <c r="J179" s="209" t="str">
        <f>Resíduos!I35</f>
        <v>Sem destinação</v>
      </c>
      <c r="K179" s="209" t="str">
        <f>Resíduos!J35</f>
        <v>Sem destinação</v>
      </c>
      <c r="L179" s="209" t="str">
        <f>Resíduos!K35</f>
        <v>Sem destinação</v>
      </c>
      <c r="M179" s="209" t="str">
        <f>Resíduos!L35</f>
        <v>Sem destinação</v>
      </c>
      <c r="N179" s="209" t="str">
        <f>Resíduos!M35</f>
        <v>Sem destinação</v>
      </c>
      <c r="O179" s="213" t="str">
        <f>Resíduos!N35</f>
        <v>Sem destinação</v>
      </c>
    </row>
    <row r="180" spans="1:15" s="141" customFormat="1" ht="15.75" thickBot="1">
      <c r="A180" s="585"/>
      <c r="B180" s="589" t="s">
        <v>15</v>
      </c>
      <c r="C180" s="589"/>
      <c r="D180" s="210" t="str">
        <f>Resíduos!C44</f>
        <v>Sem destinação</v>
      </c>
      <c r="E180" s="210" t="str">
        <f>Resíduos!D44</f>
        <v>Sem destinação</v>
      </c>
      <c r="F180" s="210" t="str">
        <f>Resíduos!E44</f>
        <v>Sem destinação</v>
      </c>
      <c r="G180" s="210" t="str">
        <f>Resíduos!F44</f>
        <v>Sem destinação</v>
      </c>
      <c r="H180" s="210" t="str">
        <f>Resíduos!G44</f>
        <v>Sem destinação</v>
      </c>
      <c r="I180" s="210" t="str">
        <f>Resíduos!H44</f>
        <v>Sem destinação</v>
      </c>
      <c r="J180" s="210" t="str">
        <f>Resíduos!I44</f>
        <v>Sem destinação</v>
      </c>
      <c r="K180" s="210" t="str">
        <f>Resíduos!J44</f>
        <v>Sem destinação</v>
      </c>
      <c r="L180" s="210" t="str">
        <f>Resíduos!K44</f>
        <v>Sem destinação</v>
      </c>
      <c r="M180" s="210" t="str">
        <f>Resíduos!L44</f>
        <v>Sem destinação</v>
      </c>
      <c r="N180" s="210" t="str">
        <f>Resíduos!M44</f>
        <v>Sem destinação</v>
      </c>
      <c r="O180" s="214" t="str">
        <f>Resíduos!N44</f>
        <v>Sem destinação</v>
      </c>
    </row>
    <row r="181" spans="1:15" ht="30" customHeight="1">
      <c r="A181" s="568" t="s">
        <v>93</v>
      </c>
      <c r="B181" s="584" t="s">
        <v>246</v>
      </c>
      <c r="C181" s="584"/>
      <c r="D181" s="341">
        <f>D145+D149+D153+D157+D161+D165+D169+D173+D177</f>
        <v>0</v>
      </c>
      <c r="E181" s="341">
        <f t="shared" ref="E181:O181" si="56">E145+E149+E153+E157+E161+E165+E169+E173+E177</f>
        <v>0.53</v>
      </c>
      <c r="F181" s="341">
        <f t="shared" si="56"/>
        <v>1.4750000000000001</v>
      </c>
      <c r="G181" s="341">
        <f t="shared" si="56"/>
        <v>1.83</v>
      </c>
      <c r="H181" s="341">
        <f t="shared" si="56"/>
        <v>1.2</v>
      </c>
      <c r="I181" s="341" t="e">
        <f t="shared" si="56"/>
        <v>#VALUE!</v>
      </c>
      <c r="J181" s="341" t="e">
        <f t="shared" si="56"/>
        <v>#VALUE!</v>
      </c>
      <c r="K181" s="341" t="e">
        <f t="shared" si="56"/>
        <v>#VALUE!</v>
      </c>
      <c r="L181" s="341" t="e">
        <f t="shared" si="56"/>
        <v>#VALUE!</v>
      </c>
      <c r="M181" s="341" t="e">
        <f t="shared" si="56"/>
        <v>#VALUE!</v>
      </c>
      <c r="N181" s="341" t="e">
        <f t="shared" si="56"/>
        <v>#VALUE!</v>
      </c>
      <c r="O181" s="341" t="e">
        <f t="shared" si="56"/>
        <v>#VALUE!</v>
      </c>
    </row>
    <row r="182" spans="1:15" s="141" customFormat="1">
      <c r="A182" s="569"/>
      <c r="B182" s="586" t="s">
        <v>6</v>
      </c>
      <c r="C182" s="586"/>
      <c r="D182" s="209">
        <v>0</v>
      </c>
      <c r="E182" s="209">
        <v>530</v>
      </c>
      <c r="F182" s="209" t="str">
        <f>Resíduos!E38</f>
        <v>Sem destinação</v>
      </c>
      <c r="G182" s="209" t="str">
        <f>Resíduos!F38</f>
        <v>Sem destinação</v>
      </c>
      <c r="H182" s="209" t="str">
        <f>Resíduos!G38</f>
        <v>Sem destinação</v>
      </c>
      <c r="I182" s="209" t="e">
        <f>I146+I150+I154+I158+I162+I166+I170+I174+I178</f>
        <v>#VALUE!</v>
      </c>
      <c r="J182" s="209" t="e">
        <f t="shared" ref="J182:O184" si="57">J146+J150+J154+J158+J162+J166+J170+J174+J178</f>
        <v>#VALUE!</v>
      </c>
      <c r="K182" s="209" t="e">
        <f t="shared" si="57"/>
        <v>#VALUE!</v>
      </c>
      <c r="L182" s="209" t="e">
        <f t="shared" si="57"/>
        <v>#VALUE!</v>
      </c>
      <c r="M182" s="209" t="e">
        <f t="shared" si="57"/>
        <v>#VALUE!</v>
      </c>
      <c r="N182" s="209" t="e">
        <f t="shared" si="57"/>
        <v>#VALUE!</v>
      </c>
      <c r="O182" s="213" t="e">
        <f t="shared" si="57"/>
        <v>#VALUE!</v>
      </c>
    </row>
    <row r="183" spans="1:15" s="141" customFormat="1">
      <c r="A183" s="569"/>
      <c r="B183" s="586" t="s">
        <v>14</v>
      </c>
      <c r="C183" s="586"/>
      <c r="D183" s="209" t="str">
        <f>Resíduos!C39</f>
        <v>Sem destinação</v>
      </c>
      <c r="E183" s="209" t="str">
        <f>Resíduos!D39</f>
        <v>Sem destinação</v>
      </c>
      <c r="F183" s="209" t="str">
        <f>Resíduos!E39</f>
        <v>Sem destinação</v>
      </c>
      <c r="G183" s="209" t="str">
        <f>Resíduos!F39</f>
        <v>Sem destinação</v>
      </c>
      <c r="H183" s="209" t="str">
        <f>Resíduos!G39</f>
        <v>Sem destinação</v>
      </c>
      <c r="I183" s="209" t="e">
        <f>I147+I151+I155+I159+I163+I167+I171+I175+I179</f>
        <v>#VALUE!</v>
      </c>
      <c r="J183" s="209" t="e">
        <f t="shared" si="57"/>
        <v>#VALUE!</v>
      </c>
      <c r="K183" s="209" t="e">
        <f t="shared" si="57"/>
        <v>#VALUE!</v>
      </c>
      <c r="L183" s="209" t="e">
        <f t="shared" si="57"/>
        <v>#VALUE!</v>
      </c>
      <c r="M183" s="209" t="e">
        <f t="shared" si="57"/>
        <v>#VALUE!</v>
      </c>
      <c r="N183" s="209" t="e">
        <f t="shared" si="57"/>
        <v>#VALUE!</v>
      </c>
      <c r="O183" s="213" t="e">
        <f t="shared" si="57"/>
        <v>#VALUE!</v>
      </c>
    </row>
    <row r="184" spans="1:15" s="141" customFormat="1" ht="15.75" thickBot="1">
      <c r="A184" s="585"/>
      <c r="B184" s="589" t="s">
        <v>15</v>
      </c>
      <c r="C184" s="589"/>
      <c r="D184" s="209" t="str">
        <f>Resíduos!C40</f>
        <v>Sem destinação</v>
      </c>
      <c r="E184" s="209" t="str">
        <f>Resíduos!D40</f>
        <v>Sem destinação</v>
      </c>
      <c r="F184" s="209" t="str">
        <f>Resíduos!E40</f>
        <v>Sem destinação</v>
      </c>
      <c r="G184" s="209" t="str">
        <f>Resíduos!F40</f>
        <v>Sem destinação</v>
      </c>
      <c r="H184" s="209" t="str">
        <f>Resíduos!G40</f>
        <v>Sem destinação</v>
      </c>
      <c r="I184" s="210" t="e">
        <f>I148+I152+I156+I160+I164+I168+I172+I176+I180</f>
        <v>#VALUE!</v>
      </c>
      <c r="J184" s="210" t="e">
        <f t="shared" si="57"/>
        <v>#VALUE!</v>
      </c>
      <c r="K184" s="210" t="e">
        <f t="shared" si="57"/>
        <v>#VALUE!</v>
      </c>
      <c r="L184" s="210" t="e">
        <f t="shared" si="57"/>
        <v>#VALUE!</v>
      </c>
      <c r="M184" s="210" t="e">
        <f t="shared" si="57"/>
        <v>#VALUE!</v>
      </c>
      <c r="N184" s="210" t="e">
        <f t="shared" si="57"/>
        <v>#VALUE!</v>
      </c>
      <c r="O184" s="214" t="e">
        <f t="shared" si="57"/>
        <v>#VALUE!</v>
      </c>
    </row>
    <row r="185" spans="1:15" s="143" customFormat="1">
      <c r="A185" s="568" t="s">
        <v>104</v>
      </c>
      <c r="B185" s="584" t="s">
        <v>247</v>
      </c>
      <c r="C185" s="584"/>
      <c r="D185" s="223">
        <f>Telefonia!C14/Telefonia!B14</f>
        <v>6.1783647798742143</v>
      </c>
      <c r="E185" s="223">
        <f>Telefonia!E14/Telefonia!D14</f>
        <v>5.7866666666666662</v>
      </c>
      <c r="F185" s="223">
        <f>Telefonia!G14/Telefonia!F14</f>
        <v>6.9230188679245286</v>
      </c>
      <c r="G185" s="223">
        <f>Telefonia!I14/Telefonia!H14</f>
        <v>5.7915723270440251</v>
      </c>
      <c r="H185" s="223">
        <f>Telefonia!K14/Telefonia!J14</f>
        <v>6.0119496855345913</v>
      </c>
      <c r="I185" s="223">
        <f>Telefonia!M14/Telefonia!L14</f>
        <v>5.3963522012578613</v>
      </c>
      <c r="J185" s="223">
        <f>Telefonia!C22/Telefonia!B22</f>
        <v>5.044150943396227</v>
      </c>
      <c r="K185" s="223">
        <f>Telefonia!E22/Telefonia!D22</f>
        <v>5.9145911949685539</v>
      </c>
      <c r="L185" s="223">
        <f>Telefonia!G22/Telefonia!F22</f>
        <v>6.5790566037735863</v>
      </c>
      <c r="M185" s="223">
        <f>Telefonia!I22/Telefonia!H22</f>
        <v>5.6240880503144659</v>
      </c>
      <c r="N185" s="223">
        <f>Telefonia!K22/Telefonia!J22</f>
        <v>5.9927044025157237</v>
      </c>
      <c r="O185" s="224">
        <f>Telefonia!M22/Telefonia!L22</f>
        <v>3.2588050314465407</v>
      </c>
    </row>
    <row r="186" spans="1:15" s="141" customFormat="1">
      <c r="A186" s="569"/>
      <c r="B186" s="586" t="s">
        <v>6</v>
      </c>
      <c r="C186" s="586"/>
      <c r="D186" s="302">
        <f>Telefonia!C11/Telefonia!B11</f>
        <v>5.892788461538462</v>
      </c>
      <c r="E186" s="302">
        <f>Telefonia!E11/Telefonia!D11</f>
        <v>5.3521153846153844</v>
      </c>
      <c r="F186" s="290">
        <f>Telefonia!G11/Telefonia!F11</f>
        <v>6.5500961538461544</v>
      </c>
      <c r="G186" s="290">
        <f>Telefonia!I11/Telefonia!H11</f>
        <v>4.985673076923077</v>
      </c>
      <c r="H186" s="290">
        <f>Telefonia!K11/Telefonia!J11</f>
        <v>5.8297115384615381</v>
      </c>
      <c r="I186" s="290">
        <f>Telefonia!M11/Telefonia!L11</f>
        <v>4.4861538461538464</v>
      </c>
      <c r="J186" s="290">
        <f>Telefonia!C19/Telefonia!B19</f>
        <v>5.1993269230769235</v>
      </c>
      <c r="K186" s="290">
        <f>Telefonia!E11/Telefonia!D11</f>
        <v>5.3521153846153844</v>
      </c>
      <c r="L186" s="290">
        <f>Telefonia!G11/Telefonia!F11</f>
        <v>6.5500961538461544</v>
      </c>
      <c r="M186" s="290">
        <f>Telefonia!I11/Telefonia!H11</f>
        <v>4.985673076923077</v>
      </c>
      <c r="N186" s="290">
        <f>Telefonia!K11/Telefonia!J11</f>
        <v>5.8297115384615381</v>
      </c>
      <c r="O186" s="291">
        <f>Telefonia!M11/Telefonia!L11</f>
        <v>4.4861538461538464</v>
      </c>
    </row>
    <row r="187" spans="1:15" s="141" customFormat="1">
      <c r="A187" s="569"/>
      <c r="B187" s="586" t="s">
        <v>14</v>
      </c>
      <c r="C187" s="586"/>
      <c r="D187" s="302">
        <f>Telefonia!C12/Telefonia!B12</f>
        <v>1.5743589743589743</v>
      </c>
      <c r="E187" s="302">
        <f>Telefonia!E12/Telefonia!D12</f>
        <v>2.0874358974358973</v>
      </c>
      <c r="F187" s="290">
        <f>Telefonia!G12/Telefonia!F12</f>
        <v>3.2948717948717947</v>
      </c>
      <c r="G187" s="290">
        <f>Telefonia!I12/Telefonia!H12</f>
        <v>4.6815384615384614</v>
      </c>
      <c r="H187" s="290">
        <f>Telefonia!K12/Telefonia!J12</f>
        <v>2.025897435897436</v>
      </c>
      <c r="I187" s="290">
        <f>Telefonia!M12/Telefonia!L12</f>
        <v>4.3453846153846154</v>
      </c>
      <c r="J187" s="290">
        <f>Telefonia!C20/Telefonia!B20</f>
        <v>2.7353846153846155</v>
      </c>
      <c r="K187" s="290">
        <f>Telefonia!E12/Telefonia!D12</f>
        <v>2.0874358974358973</v>
      </c>
      <c r="L187" s="290">
        <f>Telefonia!G12/Telefonia!F12</f>
        <v>3.2948717948717947</v>
      </c>
      <c r="M187" s="290">
        <f>Telefonia!I12/Telefonia!H12</f>
        <v>4.6815384615384614</v>
      </c>
      <c r="N187" s="290">
        <f>Telefonia!K12/Telefonia!J12</f>
        <v>2.025897435897436</v>
      </c>
      <c r="O187" s="291">
        <f>Telefonia!M12/Telefonia!L12</f>
        <v>4.3453846153846154</v>
      </c>
    </row>
    <row r="188" spans="1:15" s="141" customFormat="1" ht="15.75" thickBot="1">
      <c r="A188" s="585"/>
      <c r="B188" s="589" t="s">
        <v>15</v>
      </c>
      <c r="C188" s="589"/>
      <c r="D188" s="307">
        <f>Telefonia!C13/Telefonia!B13</f>
        <v>19.256875000000001</v>
      </c>
      <c r="E188" s="307">
        <f>Telefonia!E13/Telefonia!D13</f>
        <v>17.628125000000001</v>
      </c>
      <c r="F188" s="292">
        <f>Telefonia!G13/Telefonia!F13</f>
        <v>18.190625000000001</v>
      </c>
      <c r="G188" s="292">
        <f>Telefonia!I13/Telefonia!H13</f>
        <v>13.735625000000001</v>
      </c>
      <c r="H188" s="292">
        <f>Telefonia!K13/Telefonia!J13</f>
        <v>16.912500000000001</v>
      </c>
      <c r="I188" s="292">
        <f>Telefonia!M13/Telefonia!L13</f>
        <v>13.874375000000001</v>
      </c>
      <c r="J188" s="292">
        <f>Telefonia!C21/Telefonia!B21</f>
        <v>9.6631250000000009</v>
      </c>
      <c r="K188" s="292">
        <f>Telefonia!E13/Telefonia!D13</f>
        <v>17.628125000000001</v>
      </c>
      <c r="L188" s="292">
        <f>Telefonia!G13/Telefonia!F13</f>
        <v>18.190625000000001</v>
      </c>
      <c r="M188" s="292">
        <f>Telefonia!I13/Telefonia!H13</f>
        <v>13.735625000000001</v>
      </c>
      <c r="N188" s="292">
        <f>Telefonia!K13/Telefonia!J13</f>
        <v>16.912500000000001</v>
      </c>
      <c r="O188" s="293">
        <f>Telefonia!M13/Telefonia!L13</f>
        <v>13.874375000000001</v>
      </c>
    </row>
    <row r="189" spans="1:15" s="143" customFormat="1">
      <c r="A189" s="568" t="s">
        <v>105</v>
      </c>
      <c r="B189" s="584" t="s">
        <v>247</v>
      </c>
      <c r="C189" s="584"/>
      <c r="D189" s="308">
        <f>Telefonia!C35/Telefonia!B35</f>
        <v>48.070833333333333</v>
      </c>
      <c r="E189" s="308">
        <f>Telefonia!E35/Telefonia!D35</f>
        <v>45.284166666666664</v>
      </c>
      <c r="F189" s="297">
        <f>Telefonia!G35/Telefonia!F35</f>
        <v>46.631666666666668</v>
      </c>
      <c r="G189" s="297">
        <f>Telefonia!I35/Telefonia!H35</f>
        <v>45.585000000000001</v>
      </c>
      <c r="H189" s="297">
        <f>Telefonia!K35/Telefonia!J35</f>
        <v>45.405000000000001</v>
      </c>
      <c r="I189" s="297">
        <f>Telefonia!M35/Telefonia!L35</f>
        <v>47.241666666666667</v>
      </c>
      <c r="J189" s="297">
        <f>Telefonia!C43/Telefonia!B43</f>
        <v>46.43416666666667</v>
      </c>
      <c r="K189" s="297">
        <f>Telefonia!E43/Telefonia!D43</f>
        <v>46.891666666666673</v>
      </c>
      <c r="L189" s="297">
        <f>Telefonia!G43/Telefonia!F43</f>
        <v>46.491666666666674</v>
      </c>
      <c r="M189" s="297">
        <f>Telefonia!I43/Telefonia!H43</f>
        <v>45.707500000000003</v>
      </c>
      <c r="N189" s="297">
        <f>Telefonia!K43/Telefonia!J43</f>
        <v>46.626666666666665</v>
      </c>
      <c r="O189" s="298">
        <f>Telefonia!M43/Telefonia!L43</f>
        <v>44.9375</v>
      </c>
    </row>
    <row r="190" spans="1:15" s="141" customFormat="1">
      <c r="A190" s="569"/>
      <c r="B190" s="586" t="s">
        <v>6</v>
      </c>
      <c r="C190" s="586"/>
      <c r="D190" s="302">
        <f>Telefonia!C32/Telefonia!B32</f>
        <v>47.395000000000003</v>
      </c>
      <c r="E190" s="302">
        <f>Telefonia!E32/Telefonia!D32</f>
        <v>44.800000000000004</v>
      </c>
      <c r="F190" s="294">
        <f>Telefonia!G32/Telefonia!F32</f>
        <v>46.155000000000001</v>
      </c>
      <c r="G190" s="294">
        <f>Telefonia!I32/Telefonia!H32</f>
        <v>46.883333333333333</v>
      </c>
      <c r="H190" s="294">
        <f>Telefonia!K32/Telefonia!J32</f>
        <v>44.823333333333331</v>
      </c>
      <c r="I190" s="294">
        <f>Telefonia!M32/Telefonia!L32</f>
        <v>46.041666666666664</v>
      </c>
      <c r="J190" s="294">
        <f>Telefonia!C40/Telefonia!B40</f>
        <v>45.139999999999993</v>
      </c>
      <c r="K190" s="294">
        <f>Telefonia!E40/Telefonia!D40</f>
        <v>44.146666666666668</v>
      </c>
      <c r="L190" s="294">
        <f>Telefonia!G40/Telefonia!F40</f>
        <v>45.513333333333328</v>
      </c>
      <c r="M190" s="294">
        <f>Telefonia!I40/Telefonia!H40</f>
        <v>43.488333333333337</v>
      </c>
      <c r="N190" s="294">
        <f>Telefonia!K40/Telefonia!J40</f>
        <v>46.67166666666666</v>
      </c>
      <c r="O190" s="248">
        <f>Telefonia!M40/Telefonia!L40</f>
        <v>43.629999999999995</v>
      </c>
    </row>
    <row r="191" spans="1:15" s="141" customFormat="1">
      <c r="A191" s="569"/>
      <c r="B191" s="586" t="s">
        <v>14</v>
      </c>
      <c r="C191" s="586"/>
      <c r="D191" s="302">
        <f>Telefonia!C33/Telefonia!B33</f>
        <v>33.405000000000001</v>
      </c>
      <c r="E191" s="302">
        <f>Telefonia!E33/Telefonia!D33</f>
        <v>32.22</v>
      </c>
      <c r="F191" s="294">
        <f>Telefonia!G33/Telefonia!F33</f>
        <v>32.22</v>
      </c>
      <c r="G191" s="294">
        <f>Telefonia!I33/Telefonia!H33</f>
        <v>32.344999999999999</v>
      </c>
      <c r="H191" s="294">
        <f>Telefonia!K33/Telefonia!J33</f>
        <v>32.22</v>
      </c>
      <c r="I191" s="294">
        <f>Telefonia!M33/Telefonia!L33</f>
        <v>37.042499999999997</v>
      </c>
      <c r="J191" s="294">
        <f>Telefonia!C41/Telefonia!B41</f>
        <v>32.28</v>
      </c>
      <c r="K191" s="294">
        <f>Telefonia!E41/Telefonia!D41</f>
        <v>32.369999999999997</v>
      </c>
      <c r="L191" s="294">
        <f>Telefonia!G41/Telefonia!F41</f>
        <v>35.442500000000003</v>
      </c>
      <c r="M191" s="294">
        <f>Telefonia!I41/Telefonia!H41</f>
        <v>35.064999999999998</v>
      </c>
      <c r="N191" s="294">
        <f>Telefonia!K41/Telefonia!J41</f>
        <v>32.537500000000001</v>
      </c>
      <c r="O191" s="248">
        <f>Telefonia!M41/Telefonia!L41</f>
        <v>34.912500000000001</v>
      </c>
    </row>
    <row r="192" spans="1:15" s="141" customFormat="1" ht="15.75" thickBot="1">
      <c r="A192" s="585"/>
      <c r="B192" s="589" t="s">
        <v>15</v>
      </c>
      <c r="C192" s="589"/>
      <c r="D192" s="307">
        <f>Telefonia!C34/Telefonia!B34</f>
        <v>79.430000000000007</v>
      </c>
      <c r="E192" s="307">
        <f>Telefonia!E34/Telefonia!D34</f>
        <v>72.864999999999995</v>
      </c>
      <c r="F192" s="295">
        <f>Telefonia!G34/Telefonia!F34</f>
        <v>76.885000000000005</v>
      </c>
      <c r="G192" s="295">
        <f>Telefonia!I34/Telefonia!H34</f>
        <v>68.17</v>
      </c>
      <c r="H192" s="295">
        <f>Telefonia!K34/Telefonia!J34</f>
        <v>73.52</v>
      </c>
      <c r="I192" s="295">
        <f>Telefonia!M34/Telefonia!L34</f>
        <v>71.239999999999995</v>
      </c>
      <c r="J192" s="295">
        <f>Telefonia!C42/Telefonia!B42</f>
        <v>78.625</v>
      </c>
      <c r="K192" s="295">
        <f>Telefonia!E42/Telefonia!D42</f>
        <v>84.17</v>
      </c>
      <c r="L192" s="295">
        <f>Telefonia!G42/Telefonia!F42</f>
        <v>71.525000000000006</v>
      </c>
      <c r="M192" s="295">
        <f>Telefonia!I42/Telefonia!H42</f>
        <v>73.650000000000006</v>
      </c>
      <c r="N192" s="295">
        <f>Telefonia!K42/Telefonia!J42</f>
        <v>74.67</v>
      </c>
      <c r="O192" s="296">
        <f>Telefonia!M42/Telefonia!L42</f>
        <v>68.91</v>
      </c>
    </row>
    <row r="193" spans="1:15" s="143" customFormat="1">
      <c r="A193" s="568" t="s">
        <v>106</v>
      </c>
      <c r="B193" s="584" t="s">
        <v>248</v>
      </c>
      <c r="C193" s="584"/>
      <c r="D193" s="223">
        <f>Telefonia!C14</f>
        <v>982.36</v>
      </c>
      <c r="E193" s="223">
        <f>Telefonia!E14</f>
        <v>920.07999999999993</v>
      </c>
      <c r="F193" s="223">
        <f>Telefonia!G14</f>
        <v>1100.76</v>
      </c>
      <c r="G193" s="223">
        <f>Telefonia!I14</f>
        <v>920.86</v>
      </c>
      <c r="H193" s="223">
        <f>Telefonia!K14</f>
        <v>955.9</v>
      </c>
      <c r="I193" s="223">
        <f>Telefonia!M14</f>
        <v>858.02</v>
      </c>
      <c r="J193" s="223">
        <f>Telefonia!C22</f>
        <v>802.0200000000001</v>
      </c>
      <c r="K193" s="223">
        <f>Telefonia!E22</f>
        <v>940.42000000000007</v>
      </c>
      <c r="L193" s="223">
        <f>Telefonia!G22</f>
        <v>1046.0700000000002</v>
      </c>
      <c r="M193" s="223">
        <f>Telefonia!I22</f>
        <v>894.23</v>
      </c>
      <c r="N193" s="223">
        <f>Telefonia!K22</f>
        <v>952.84</v>
      </c>
      <c r="O193" s="224">
        <f>Telefonia!M22</f>
        <v>518.15</v>
      </c>
    </row>
    <row r="194" spans="1:15" s="141" customFormat="1">
      <c r="A194" s="569"/>
      <c r="B194" s="586" t="s">
        <v>6</v>
      </c>
      <c r="C194" s="586"/>
      <c r="D194" s="215">
        <f>Telefonia!C11</f>
        <v>612.85</v>
      </c>
      <c r="E194" s="215">
        <f>Telefonia!E11</f>
        <v>556.62</v>
      </c>
      <c r="F194" s="215">
        <f>Telefonia!G11</f>
        <v>681.21</v>
      </c>
      <c r="G194" s="215">
        <f>Telefonia!I11</f>
        <v>518.51</v>
      </c>
      <c r="H194" s="215">
        <f>Telefonia!K11</f>
        <v>606.29</v>
      </c>
      <c r="I194" s="215">
        <f>Telefonia!M11</f>
        <v>466.56</v>
      </c>
      <c r="J194" s="215">
        <f>Telefonia!C19</f>
        <v>540.73</v>
      </c>
      <c r="K194" s="215">
        <f>Telefonia!E19</f>
        <v>555.99</v>
      </c>
      <c r="L194" s="215">
        <f>Telefonia!G19</f>
        <v>574.34</v>
      </c>
      <c r="M194" s="215">
        <f>Telefonia!I19</f>
        <v>558.79999999999995</v>
      </c>
      <c r="N194" s="215">
        <f>Telefonia!K19</f>
        <v>559.45000000000005</v>
      </c>
      <c r="O194" s="217">
        <f>Telefonia!M19</f>
        <v>299.26</v>
      </c>
    </row>
    <row r="195" spans="1:15" s="141" customFormat="1">
      <c r="A195" s="569"/>
      <c r="B195" s="586" t="s">
        <v>14</v>
      </c>
      <c r="C195" s="586"/>
      <c r="D195" s="215">
        <f>Telefonia!C12</f>
        <v>61.4</v>
      </c>
      <c r="E195" s="215">
        <f>Telefonia!E12</f>
        <v>81.41</v>
      </c>
      <c r="F195" s="215">
        <f>Telefonia!G12</f>
        <v>128.5</v>
      </c>
      <c r="G195" s="215">
        <f>Telefonia!I12</f>
        <v>182.58</v>
      </c>
      <c r="H195" s="215">
        <f>Telefonia!K12</f>
        <v>79.010000000000005</v>
      </c>
      <c r="I195" s="215">
        <f>Telefonia!M12</f>
        <v>169.47</v>
      </c>
      <c r="J195" s="215">
        <f>Telefonia!C20</f>
        <v>106.68</v>
      </c>
      <c r="K195" s="215">
        <f>Telefonia!E20</f>
        <v>72.13</v>
      </c>
      <c r="L195" s="215">
        <f>Telefonia!G20</f>
        <v>138.12</v>
      </c>
      <c r="M195" s="215">
        <f>Telefonia!I20</f>
        <v>121.85</v>
      </c>
      <c r="N195" s="215">
        <f>Telefonia!K20</f>
        <v>193.28</v>
      </c>
      <c r="O195" s="217">
        <f>Telefonia!M20</f>
        <v>162.68</v>
      </c>
    </row>
    <row r="196" spans="1:15" s="141" customFormat="1" ht="15.75" thickBot="1">
      <c r="A196" s="585"/>
      <c r="B196" s="589" t="s">
        <v>15</v>
      </c>
      <c r="C196" s="589"/>
      <c r="D196" s="216">
        <f>Telefonia!C13</f>
        <v>308.11</v>
      </c>
      <c r="E196" s="216">
        <f>Telefonia!E13</f>
        <v>282.05</v>
      </c>
      <c r="F196" s="216">
        <f>Telefonia!G13</f>
        <v>291.05</v>
      </c>
      <c r="G196" s="216">
        <f>Telefonia!I13</f>
        <v>219.77</v>
      </c>
      <c r="H196" s="216">
        <f>Telefonia!K13</f>
        <v>270.60000000000002</v>
      </c>
      <c r="I196" s="216">
        <f>Telefonia!M13</f>
        <v>221.99</v>
      </c>
      <c r="J196" s="216">
        <f>Telefonia!C21</f>
        <v>154.61000000000001</v>
      </c>
      <c r="K196" s="216">
        <f>Telefonia!E21</f>
        <v>312.3</v>
      </c>
      <c r="L196" s="216">
        <f>Telefonia!G21</f>
        <v>333.61</v>
      </c>
      <c r="M196" s="216">
        <f>Telefonia!I21</f>
        <v>213.58</v>
      </c>
      <c r="N196" s="216">
        <f>Telefonia!K21</f>
        <v>200.11</v>
      </c>
      <c r="O196" s="218">
        <f>Telefonia!M21</f>
        <v>56.21</v>
      </c>
    </row>
    <row r="197" spans="1:15" s="143" customFormat="1">
      <c r="A197" s="568" t="s">
        <v>107</v>
      </c>
      <c r="B197" s="584" t="s">
        <v>249</v>
      </c>
      <c r="C197" s="584"/>
      <c r="D197" s="223">
        <f>Telefonia!C35</f>
        <v>576.85</v>
      </c>
      <c r="E197" s="223">
        <f>Telefonia!E35</f>
        <v>543.41</v>
      </c>
      <c r="F197" s="223">
        <f>Telefonia!G35</f>
        <v>559.58000000000004</v>
      </c>
      <c r="G197" s="223">
        <f>Telefonia!I35</f>
        <v>547.02</v>
      </c>
      <c r="H197" s="223">
        <f>Telefonia!K35</f>
        <v>544.86</v>
      </c>
      <c r="I197" s="223">
        <f>Telefonia!M35</f>
        <v>566.9</v>
      </c>
      <c r="J197" s="223">
        <f>Telefonia!C43</f>
        <v>557.21</v>
      </c>
      <c r="K197" s="223">
        <f>Telefonia!E43</f>
        <v>562.70000000000005</v>
      </c>
      <c r="L197" s="223">
        <f>Telefonia!G43</f>
        <v>557.90000000000009</v>
      </c>
      <c r="M197" s="223">
        <f>Telefonia!I43</f>
        <v>548.49</v>
      </c>
      <c r="N197" s="223">
        <f>Telefonia!K43</f>
        <v>559.52</v>
      </c>
      <c r="O197" s="224">
        <f>Telefonia!M43</f>
        <v>539.25</v>
      </c>
    </row>
    <row r="198" spans="1:15" s="141" customFormat="1">
      <c r="A198" s="569"/>
      <c r="B198" s="586" t="s">
        <v>6</v>
      </c>
      <c r="C198" s="586"/>
      <c r="D198" s="215">
        <f>Telefonia!C32</f>
        <v>284.37</v>
      </c>
      <c r="E198" s="215">
        <f>Telefonia!E32</f>
        <v>268.8</v>
      </c>
      <c r="F198" s="215">
        <f>Telefonia!G32</f>
        <v>276.93</v>
      </c>
      <c r="G198" s="215">
        <f>Telefonia!I32</f>
        <v>281.3</v>
      </c>
      <c r="H198" s="215">
        <f>Telefonia!K32</f>
        <v>268.94</v>
      </c>
      <c r="I198" s="215">
        <f>Telefonia!M32</f>
        <v>276.25</v>
      </c>
      <c r="J198" s="215">
        <f>Telefonia!C40</f>
        <v>270.83999999999997</v>
      </c>
      <c r="K198" s="215">
        <f>Telefonia!E40</f>
        <v>264.88</v>
      </c>
      <c r="L198" s="215">
        <f>Telefonia!G40</f>
        <v>273.08</v>
      </c>
      <c r="M198" s="215">
        <f>Telefonia!I40</f>
        <v>260.93</v>
      </c>
      <c r="N198" s="215">
        <f>Telefonia!K40</f>
        <v>280.02999999999997</v>
      </c>
      <c r="O198" s="217">
        <f>Telefonia!M40</f>
        <v>261.77999999999997</v>
      </c>
    </row>
    <row r="199" spans="1:15" s="141" customFormat="1">
      <c r="A199" s="569"/>
      <c r="B199" s="586" t="s">
        <v>14</v>
      </c>
      <c r="C199" s="586"/>
      <c r="D199" s="215">
        <f>Telefonia!C33</f>
        <v>133.62</v>
      </c>
      <c r="E199" s="215">
        <f>Telefonia!E33</f>
        <v>128.88</v>
      </c>
      <c r="F199" s="215">
        <f>Telefonia!G33</f>
        <v>128.88</v>
      </c>
      <c r="G199" s="215">
        <f>Telefonia!I33</f>
        <v>129.38</v>
      </c>
      <c r="H199" s="215">
        <f>Telefonia!K33</f>
        <v>128.88</v>
      </c>
      <c r="I199" s="215">
        <f>Telefonia!M33</f>
        <v>148.16999999999999</v>
      </c>
      <c r="J199" s="215">
        <f>Telefonia!C41</f>
        <v>129.12</v>
      </c>
      <c r="K199" s="215">
        <f>Telefonia!E41</f>
        <v>129.47999999999999</v>
      </c>
      <c r="L199" s="215">
        <f>Telefonia!G41</f>
        <v>141.77000000000001</v>
      </c>
      <c r="M199" s="215">
        <f>Telefonia!I41</f>
        <v>140.26</v>
      </c>
      <c r="N199" s="215">
        <f>Telefonia!K41</f>
        <v>130.15</v>
      </c>
      <c r="O199" s="217">
        <f>Telefonia!M41</f>
        <v>139.65</v>
      </c>
    </row>
    <row r="200" spans="1:15" s="141" customFormat="1" ht="15.75" thickBot="1">
      <c r="A200" s="570"/>
      <c r="B200" s="593" t="s">
        <v>15</v>
      </c>
      <c r="C200" s="593"/>
      <c r="D200" s="299">
        <f>Telefonia!C34</f>
        <v>158.86000000000001</v>
      </c>
      <c r="E200" s="299">
        <f>Telefonia!E34</f>
        <v>145.72999999999999</v>
      </c>
      <c r="F200" s="299">
        <f>Telefonia!G34</f>
        <v>153.77000000000001</v>
      </c>
      <c r="G200" s="299">
        <f>Telefonia!I34</f>
        <v>136.34</v>
      </c>
      <c r="H200" s="299">
        <f>Telefonia!K34</f>
        <v>147.04</v>
      </c>
      <c r="I200" s="299">
        <f>Telefonia!M34</f>
        <v>142.47999999999999</v>
      </c>
      <c r="J200" s="299">
        <f>Telefonia!C42</f>
        <v>157.25</v>
      </c>
      <c r="K200" s="299">
        <f>Telefonia!E42</f>
        <v>168.34</v>
      </c>
      <c r="L200" s="299">
        <f>Telefonia!G42</f>
        <v>143.05000000000001</v>
      </c>
      <c r="M200" s="299">
        <f>Telefonia!I42</f>
        <v>147.30000000000001</v>
      </c>
      <c r="N200" s="299">
        <f>Telefonia!K42</f>
        <v>149.34</v>
      </c>
      <c r="O200" s="300">
        <f>Telefonia!M42</f>
        <v>137.82</v>
      </c>
    </row>
    <row r="201" spans="1:15" ht="30" customHeight="1">
      <c r="A201" s="596" t="s">
        <v>122</v>
      </c>
      <c r="B201" s="594" t="s">
        <v>250</v>
      </c>
      <c r="C201" s="595"/>
      <c r="D201" s="235">
        <v>0</v>
      </c>
      <c r="E201" s="235">
        <f>(Veículos!E11+Veículos!E20+Veículos!E29)/(Veículos!E12+Veículos!E21+Veículos!E30)</f>
        <v>9.4558823529411757</v>
      </c>
      <c r="F201" s="235">
        <f>(Veículos!F11+Veículos!F20+Veículos!F29)/(Veículos!F12+Veículos!F21+Veículos!F30)</f>
        <v>8.7857142857142865</v>
      </c>
      <c r="G201" s="235">
        <f>(Veículos!G11+Veículos!G20+Veículos!G29)/(Veículos!G12+Veículos!G21+Veículos!G30)</f>
        <v>8.2085561497326207</v>
      </c>
      <c r="H201" s="235">
        <f>(Veículos!H11+Veículos!H20+Veículos!H29)/(Veículos!H12+Veículos!H21+Veículos!H30)</f>
        <v>7.1541381507855153</v>
      </c>
      <c r="I201" s="235">
        <f>(Veículos!I11+Veículos!I20+Veículos!I29)/(Veículos!I12+Veículos!I21+Veículos!I30)</f>
        <v>9.8400628177046734</v>
      </c>
      <c r="J201" s="235">
        <f>(Veículos!J11+Veículos!J20+Veículos!J29)/(Veículos!J12+Veículos!J21+Veículos!J30)</f>
        <v>13.331690487925087</v>
      </c>
      <c r="K201" s="235">
        <f>(Veículos!K11+Veículos!K20+Veículos!K29)/(Veículos!K12+Veículos!K21+Veículos!K30)</f>
        <v>8.3286668906559154</v>
      </c>
      <c r="L201" s="235">
        <f>(Veículos!L11+Veículos!L20+Veículos!L29)/(Veículos!L12+Veículos!L21+Veículos!L30)</f>
        <v>7.311827956989247</v>
      </c>
      <c r="M201" s="235">
        <f>(Veículos!M11+Veículos!M20+Veículos!M29)/(Veículos!M12+Veículos!M21+Veículos!M30)</f>
        <v>7.7473309608540921</v>
      </c>
      <c r="N201" s="235">
        <f>(Veículos!N11+Veículos!N20+Veículos!N29)/(Veículos!N12+Veículos!N21+Veículos!N30)</f>
        <v>8.063258232235702</v>
      </c>
      <c r="O201" s="236">
        <f>(Veículos!O11+Veículos!O20+Veículos!O29)/(Veículos!O12+Veículos!O21+Veículos!O30)</f>
        <v>6.5981097307257928</v>
      </c>
    </row>
    <row r="202" spans="1:15" s="141" customFormat="1">
      <c r="A202" s="597"/>
      <c r="B202" s="572" t="s">
        <v>6</v>
      </c>
      <c r="C202" s="186" t="s">
        <v>261</v>
      </c>
      <c r="D202" s="228">
        <v>0</v>
      </c>
      <c r="E202" s="228">
        <f>Veículos!E11/Veículos!E12</f>
        <v>10.604938271604938</v>
      </c>
      <c r="F202" s="228">
        <f>Veículos!F11/Veículos!F12</f>
        <v>9.2845528455284558</v>
      </c>
      <c r="G202" s="228">
        <f>Veículos!G11/Veículos!G12</f>
        <v>8.6759259259259256</v>
      </c>
      <c r="H202" s="228">
        <f>Veículos!H11/Veículos!H12</f>
        <v>7.4658817233074668</v>
      </c>
      <c r="I202" s="228">
        <f>Veículos!I11/Veículos!I12</f>
        <v>11.510632421982876</v>
      </c>
      <c r="J202" s="228">
        <f>Veículos!J11/Veículos!J12</f>
        <v>12.157056021028422</v>
      </c>
      <c r="K202" s="228">
        <f>Veículos!K11/Veículos!K12</f>
        <v>10.37202380952381</v>
      </c>
      <c r="L202" s="228">
        <f>Veículos!L11/Veículos!L12</f>
        <v>7.4942084942084941</v>
      </c>
      <c r="M202" s="228">
        <f>Veículos!M11/Veículos!M12</f>
        <v>8.015625</v>
      </c>
      <c r="N202" s="228">
        <f>Veículos!N11/Veículos!N12</f>
        <v>8.3037383177570092</v>
      </c>
      <c r="O202" s="233">
        <f>Veículos!O11/Veículos!O12</f>
        <v>6.9243385866077167</v>
      </c>
    </row>
    <row r="203" spans="1:15" s="141" customFormat="1">
      <c r="A203" s="597"/>
      <c r="B203" s="572"/>
      <c r="C203" s="186" t="s">
        <v>147</v>
      </c>
      <c r="D203" s="227">
        <f>Veículos!D13</f>
        <v>648</v>
      </c>
      <c r="E203" s="227">
        <f>Veículos!E13</f>
        <v>715.53</v>
      </c>
      <c r="F203" s="227">
        <f>Veículos!F13</f>
        <v>558.37</v>
      </c>
      <c r="G203" s="227">
        <f>Veículos!G13</f>
        <v>1495.52</v>
      </c>
      <c r="H203" s="227">
        <f>Veículos!H13</f>
        <v>1404.88</v>
      </c>
      <c r="I203" s="227">
        <f>Veículos!I13</f>
        <v>856.68</v>
      </c>
      <c r="J203" s="227">
        <f>Veículos!J13</f>
        <v>549.23</v>
      </c>
      <c r="K203" s="227">
        <f>Veículos!K13</f>
        <v>898.22</v>
      </c>
      <c r="L203" s="227">
        <f>Veículos!L13</f>
        <v>1179.44</v>
      </c>
      <c r="M203" s="227">
        <f>Veículos!M13</f>
        <v>1190.99</v>
      </c>
      <c r="N203" s="227">
        <f>Veículos!N13</f>
        <v>1027</v>
      </c>
      <c r="O203" s="229">
        <f>Veículos!O13</f>
        <v>673.01</v>
      </c>
    </row>
    <row r="204" spans="1:15" s="141" customFormat="1">
      <c r="A204" s="597"/>
      <c r="B204" s="572" t="s">
        <v>14</v>
      </c>
      <c r="C204" s="186" t="s">
        <v>261</v>
      </c>
      <c r="D204" s="228">
        <v>0</v>
      </c>
      <c r="E204" s="228">
        <v>0</v>
      </c>
      <c r="F204" s="228">
        <v>0</v>
      </c>
      <c r="G204" s="228">
        <v>0</v>
      </c>
      <c r="H204" s="228">
        <f>Veículos!H20/Veículos!H21</f>
        <v>5.6497175141242932</v>
      </c>
      <c r="I204" s="228">
        <f>Veículos!I20/Veículos!I21</f>
        <v>4.875246224556796</v>
      </c>
      <c r="J204" s="228" t="e">
        <f>Veículos!J20/Veículos!J21</f>
        <v>#DIV/0!</v>
      </c>
      <c r="K204" s="228">
        <f>Veículos!K20/Veículos!K21</f>
        <v>2.1125697902519995</v>
      </c>
      <c r="L204" s="228">
        <f>Veículos!L20/Veículos!L21</f>
        <v>4.95</v>
      </c>
      <c r="M204" s="228">
        <f>Veículos!M20/Veículos!M21</f>
        <v>5</v>
      </c>
      <c r="N204" s="228">
        <f>Veículos!N20/Veículos!N21</f>
        <v>5</v>
      </c>
      <c r="O204" s="233">
        <f>Veículos!O20/Veículos!O21</f>
        <v>4.9642857142857144</v>
      </c>
    </row>
    <row r="205" spans="1:15" s="141" customFormat="1">
      <c r="A205" s="597"/>
      <c r="B205" s="572"/>
      <c r="C205" s="186" t="s">
        <v>147</v>
      </c>
      <c r="D205" s="227">
        <f>Veículos!D22</f>
        <v>86.9</v>
      </c>
      <c r="E205" s="227">
        <f>Veículos!E22</f>
        <v>165.9</v>
      </c>
      <c r="F205" s="227">
        <f>Veículos!F22</f>
        <v>67.150000000000006</v>
      </c>
      <c r="G205" s="227">
        <f>Veículos!G22</f>
        <v>179.95</v>
      </c>
      <c r="H205" s="227">
        <f>Veículos!H22</f>
        <v>227.36</v>
      </c>
      <c r="I205" s="227">
        <f>Veículos!I22</f>
        <v>214.44</v>
      </c>
      <c r="J205" s="227">
        <f>Veículos!J22</f>
        <v>0</v>
      </c>
      <c r="K205" s="227">
        <f>Veículos!K22</f>
        <v>230.85</v>
      </c>
      <c r="L205" s="227">
        <f>Veículos!L22</f>
        <v>69.8</v>
      </c>
      <c r="M205" s="227">
        <f>Veículos!M22</f>
        <v>87.25</v>
      </c>
      <c r="N205" s="227">
        <f>Veículos!N22</f>
        <v>58.63</v>
      </c>
      <c r="O205" s="229">
        <f>Veículos!O22</f>
        <v>96.32</v>
      </c>
    </row>
    <row r="206" spans="1:15" s="141" customFormat="1">
      <c r="A206" s="597"/>
      <c r="B206" s="572" t="s">
        <v>15</v>
      </c>
      <c r="C206" s="186" t="s">
        <v>261</v>
      </c>
      <c r="D206" s="228">
        <v>0</v>
      </c>
      <c r="E206" s="228">
        <v>0</v>
      </c>
      <c r="F206" s="228">
        <v>0</v>
      </c>
      <c r="G206" s="228">
        <v>0</v>
      </c>
      <c r="H206" s="228" t="e">
        <f>Veículos!H29/Veículos!H30</f>
        <v>#DIV/0!</v>
      </c>
      <c r="I206" s="228" t="e">
        <f>Veículos!I29/Veículos!I30</f>
        <v>#DIV/0!</v>
      </c>
      <c r="J206" s="228" t="e">
        <f>Veículos!J29/Veículos!J30</f>
        <v>#DIV/0!</v>
      </c>
      <c r="K206" s="228" t="e">
        <f>Veículos!K29/Veículos!K30</f>
        <v>#DIV/0!</v>
      </c>
      <c r="L206" s="228" t="e">
        <f>Veículos!L29/Veículos!L30</f>
        <v>#DIV/0!</v>
      </c>
      <c r="M206" s="228" t="e">
        <f>Veículos!M29/Veículos!M30</f>
        <v>#DIV/0!</v>
      </c>
      <c r="N206" s="228" t="e">
        <f>Veículos!N29/Veículos!N30</f>
        <v>#DIV/0!</v>
      </c>
      <c r="O206" s="233" t="e">
        <f>Veículos!O29/Veículos!O30</f>
        <v>#DIV/0!</v>
      </c>
    </row>
    <row r="207" spans="1:15" s="141" customFormat="1" ht="15.75" thickBot="1">
      <c r="A207" s="598"/>
      <c r="B207" s="550"/>
      <c r="C207" s="230" t="s">
        <v>147</v>
      </c>
      <c r="D207" s="231">
        <f>Veículos!D31</f>
        <v>0</v>
      </c>
      <c r="E207" s="231">
        <f>Veículos!E31</f>
        <v>0</v>
      </c>
      <c r="F207" s="231">
        <f>Veículos!F31</f>
        <v>0</v>
      </c>
      <c r="G207" s="231">
        <f>Veículos!G31</f>
        <v>0</v>
      </c>
      <c r="H207" s="231">
        <f>Veículos!H31</f>
        <v>0</v>
      </c>
      <c r="I207" s="231">
        <f>Veículos!I31</f>
        <v>0</v>
      </c>
      <c r="J207" s="231">
        <f>Veículos!J31</f>
        <v>0</v>
      </c>
      <c r="K207" s="231">
        <f>Veículos!K31</f>
        <v>0</v>
      </c>
      <c r="L207" s="231">
        <f>Veículos!L31</f>
        <v>0</v>
      </c>
      <c r="M207" s="231">
        <f>Veículos!M31</f>
        <v>0</v>
      </c>
      <c r="N207" s="231">
        <f>Veículos!N31</f>
        <v>0</v>
      </c>
      <c r="O207" s="232">
        <f>Veículos!O31</f>
        <v>0</v>
      </c>
    </row>
    <row r="208" spans="1:15" ht="30" customHeight="1">
      <c r="A208" s="596" t="s">
        <v>123</v>
      </c>
      <c r="B208" s="594" t="s">
        <v>251</v>
      </c>
      <c r="C208" s="595"/>
      <c r="D208" s="234">
        <v>0</v>
      </c>
      <c r="E208" s="234">
        <v>0</v>
      </c>
      <c r="F208" s="234">
        <v>0</v>
      </c>
      <c r="G208" s="234">
        <v>0</v>
      </c>
      <c r="H208" s="234">
        <v>0</v>
      </c>
      <c r="I208" s="234" t="e">
        <f>(Veículos!I14+Veículos!I23+Veículos!I32)/(Veículos!I15+Veículos!I24+Veículos!I33)</f>
        <v>#DIV/0!</v>
      </c>
      <c r="J208" s="234" t="e">
        <f>(Veículos!J14+Veículos!J23+Veículos!J32)/(Veículos!J15+Veículos!J24+Veículos!J33)</f>
        <v>#DIV/0!</v>
      </c>
      <c r="K208" s="234" t="e">
        <f>(Veículos!K14+Veículos!K23+Veículos!K32)/(Veículos!K15+Veículos!K24+Veículos!K33)</f>
        <v>#DIV/0!</v>
      </c>
      <c r="L208" s="234" t="e">
        <f>(Veículos!L14+Veículos!L23+Veículos!L32)/(Veículos!L15+Veículos!L24+Veículos!L33)</f>
        <v>#DIV/0!</v>
      </c>
      <c r="M208" s="234" t="e">
        <f>(Veículos!M14+Veículos!M23+Veículos!M32)/(Veículos!M15+Veículos!M24+Veículos!M33)</f>
        <v>#DIV/0!</v>
      </c>
      <c r="N208" s="234" t="e">
        <f>(Veículos!N14+Veículos!N23+Veículos!N32)/(Veículos!N15+Veículos!N24+Veículos!N33)</f>
        <v>#DIV/0!</v>
      </c>
      <c r="O208" s="237" t="e">
        <f>(Veículos!O14+Veículos!O23+Veículos!O32)/(Veículos!O15+Veículos!O24+Veículos!O33)</f>
        <v>#DIV/0!</v>
      </c>
    </row>
    <row r="209" spans="1:15" s="141" customFormat="1">
      <c r="A209" s="597"/>
      <c r="B209" s="572" t="s">
        <v>6</v>
      </c>
      <c r="C209" s="186" t="s">
        <v>261</v>
      </c>
      <c r="D209" s="228">
        <v>0</v>
      </c>
      <c r="E209" s="228">
        <v>0</v>
      </c>
      <c r="F209" s="228">
        <v>0</v>
      </c>
      <c r="G209" s="228">
        <v>0</v>
      </c>
      <c r="H209" s="228">
        <v>0</v>
      </c>
      <c r="I209" s="228" t="e">
        <f>Veículos!I14/Veículos!I15</f>
        <v>#DIV/0!</v>
      </c>
      <c r="J209" s="228" t="e">
        <f>Veículos!J14/Veículos!J15</f>
        <v>#DIV/0!</v>
      </c>
      <c r="K209" s="228" t="e">
        <f>Veículos!K14/Veículos!K15</f>
        <v>#DIV/0!</v>
      </c>
      <c r="L209" s="228" t="e">
        <f>Veículos!L14/Veículos!L15</f>
        <v>#DIV/0!</v>
      </c>
      <c r="M209" s="228" t="e">
        <f>Veículos!M14/Veículos!M15</f>
        <v>#DIV/0!</v>
      </c>
      <c r="N209" s="228" t="e">
        <f>Veículos!N14/Veículos!N15</f>
        <v>#DIV/0!</v>
      </c>
      <c r="O209" s="233" t="e">
        <f>Veículos!O14/Veículos!O15</f>
        <v>#DIV/0!</v>
      </c>
    </row>
    <row r="210" spans="1:15" s="141" customFormat="1">
      <c r="A210" s="597"/>
      <c r="B210" s="572"/>
      <c r="C210" s="186" t="s">
        <v>147</v>
      </c>
      <c r="D210" s="227">
        <f>Veículos!D16</f>
        <v>0</v>
      </c>
      <c r="E210" s="227">
        <f>Veículos!E16</f>
        <v>0</v>
      </c>
      <c r="F210" s="227">
        <f>Veículos!F16</f>
        <v>0</v>
      </c>
      <c r="G210" s="227">
        <f>Veículos!G16</f>
        <v>0</v>
      </c>
      <c r="H210" s="227">
        <f>Veículos!H16</f>
        <v>0</v>
      </c>
      <c r="I210" s="227">
        <f>Veículos!I16</f>
        <v>0</v>
      </c>
      <c r="J210" s="227">
        <f>Veículos!J16</f>
        <v>0</v>
      </c>
      <c r="K210" s="227">
        <f>Veículos!K16</f>
        <v>0</v>
      </c>
      <c r="L210" s="227">
        <f>Veículos!L16</f>
        <v>0</v>
      </c>
      <c r="M210" s="227">
        <f>Veículos!M16</f>
        <v>0</v>
      </c>
      <c r="N210" s="227">
        <f>Veículos!N16</f>
        <v>0</v>
      </c>
      <c r="O210" s="229">
        <f>Veículos!O16</f>
        <v>0</v>
      </c>
    </row>
    <row r="211" spans="1:15" s="141" customFormat="1">
      <c r="A211" s="597"/>
      <c r="B211" s="572" t="s">
        <v>14</v>
      </c>
      <c r="C211" s="186" t="s">
        <v>261</v>
      </c>
      <c r="D211" s="228">
        <v>0</v>
      </c>
      <c r="E211" s="228">
        <v>0</v>
      </c>
      <c r="F211" s="228">
        <v>0</v>
      </c>
      <c r="G211" s="228">
        <v>0</v>
      </c>
      <c r="H211" s="228">
        <v>0</v>
      </c>
      <c r="I211" s="228" t="e">
        <f>Veículos!I23/Veículos!I24</f>
        <v>#DIV/0!</v>
      </c>
      <c r="J211" s="228" t="e">
        <f>Veículos!J23/Veículos!J24</f>
        <v>#DIV/0!</v>
      </c>
      <c r="K211" s="228" t="e">
        <f>Veículos!K23/Veículos!K24</f>
        <v>#DIV/0!</v>
      </c>
      <c r="L211" s="228" t="e">
        <f>Veículos!L23/Veículos!L24</f>
        <v>#DIV/0!</v>
      </c>
      <c r="M211" s="228" t="e">
        <f>Veículos!M23/Veículos!M24</f>
        <v>#DIV/0!</v>
      </c>
      <c r="N211" s="228" t="e">
        <f>Veículos!N23/Veículos!N24</f>
        <v>#DIV/0!</v>
      </c>
      <c r="O211" s="233" t="e">
        <f>Veículos!O23/Veículos!O24</f>
        <v>#DIV/0!</v>
      </c>
    </row>
    <row r="212" spans="1:15" s="141" customFormat="1">
      <c r="A212" s="597"/>
      <c r="B212" s="572"/>
      <c r="C212" s="186" t="s">
        <v>147</v>
      </c>
      <c r="D212" s="227">
        <f>Veículos!D25</f>
        <v>0</v>
      </c>
      <c r="E212" s="227">
        <f>Veículos!E25</f>
        <v>0</v>
      </c>
      <c r="F212" s="227">
        <f>Veículos!F25</f>
        <v>0</v>
      </c>
      <c r="G212" s="227">
        <f>Veículos!G25</f>
        <v>0</v>
      </c>
      <c r="H212" s="227">
        <f>Veículos!H25</f>
        <v>0</v>
      </c>
      <c r="I212" s="227">
        <f>Veículos!I25</f>
        <v>0</v>
      </c>
      <c r="J212" s="227">
        <f>Veículos!J25</f>
        <v>0</v>
      </c>
      <c r="K212" s="227">
        <f>Veículos!K25</f>
        <v>0</v>
      </c>
      <c r="L212" s="227">
        <f>Veículos!L25</f>
        <v>0</v>
      </c>
      <c r="M212" s="227">
        <f>Veículos!M25</f>
        <v>0</v>
      </c>
      <c r="N212" s="227">
        <f>Veículos!N25</f>
        <v>0</v>
      </c>
      <c r="O212" s="229">
        <f>Veículos!O25</f>
        <v>0</v>
      </c>
    </row>
    <row r="213" spans="1:15" s="141" customFormat="1">
      <c r="A213" s="597"/>
      <c r="B213" s="572" t="s">
        <v>15</v>
      </c>
      <c r="C213" s="186" t="s">
        <v>261</v>
      </c>
      <c r="D213" s="228">
        <v>0</v>
      </c>
      <c r="E213" s="228">
        <v>0</v>
      </c>
      <c r="F213" s="228">
        <v>0</v>
      </c>
      <c r="G213" s="228">
        <v>0</v>
      </c>
      <c r="H213" s="228">
        <v>0</v>
      </c>
      <c r="I213" s="228" t="e">
        <f>Veículos!I32/Veículos!I33</f>
        <v>#DIV/0!</v>
      </c>
      <c r="J213" s="228" t="e">
        <f>Veículos!J32/Veículos!J33</f>
        <v>#DIV/0!</v>
      </c>
      <c r="K213" s="228" t="e">
        <f>Veículos!K32/Veículos!K33</f>
        <v>#DIV/0!</v>
      </c>
      <c r="L213" s="228" t="e">
        <f>Veículos!L32/Veículos!L33</f>
        <v>#DIV/0!</v>
      </c>
      <c r="M213" s="228" t="e">
        <f>Veículos!M32/Veículos!M33</f>
        <v>#DIV/0!</v>
      </c>
      <c r="N213" s="228" t="e">
        <f>Veículos!N32/Veículos!N33</f>
        <v>#DIV/0!</v>
      </c>
      <c r="O213" s="233" t="e">
        <f>Veículos!O32/Veículos!O33</f>
        <v>#DIV/0!</v>
      </c>
    </row>
    <row r="214" spans="1:15" s="141" customFormat="1" ht="15.75" thickBot="1">
      <c r="A214" s="598"/>
      <c r="B214" s="550"/>
      <c r="C214" s="230" t="s">
        <v>147</v>
      </c>
      <c r="D214" s="231">
        <f>Veículos!D34</f>
        <v>0</v>
      </c>
      <c r="E214" s="231">
        <f>Veículos!E34</f>
        <v>0</v>
      </c>
      <c r="F214" s="231">
        <f>Veículos!F34</f>
        <v>0</v>
      </c>
      <c r="G214" s="231">
        <f>Veículos!G34</f>
        <v>0</v>
      </c>
      <c r="H214" s="231">
        <f>Veículos!H34</f>
        <v>0</v>
      </c>
      <c r="I214" s="231">
        <f>Veículos!I34</f>
        <v>0</v>
      </c>
      <c r="J214" s="231">
        <f>Veículos!J34</f>
        <v>0</v>
      </c>
      <c r="K214" s="231">
        <f>Veículos!K34</f>
        <v>0</v>
      </c>
      <c r="L214" s="231">
        <f>Veículos!L34</f>
        <v>0</v>
      </c>
      <c r="M214" s="231">
        <f>Veículos!M34</f>
        <v>0</v>
      </c>
      <c r="N214" s="231">
        <f>Veículos!N34</f>
        <v>0</v>
      </c>
      <c r="O214" s="232">
        <f>Veículos!O34</f>
        <v>0</v>
      </c>
    </row>
    <row r="215" spans="1:15" ht="30" customHeight="1">
      <c r="A215" s="596" t="s">
        <v>124</v>
      </c>
      <c r="B215" s="594" t="s">
        <v>252</v>
      </c>
      <c r="C215" s="595"/>
      <c r="D215" s="235">
        <f>(Veículos!D17+Veículos!D26+Veículos!D35)/(Veículos!D18+Veículos!D27+Veículos!D36)</f>
        <v>30.25</v>
      </c>
      <c r="E215" s="235">
        <f>(Veículos!E17+Veículos!E26+Veículos!E35)/(Veículos!E18+Veículos!E27+Veículos!E36)</f>
        <v>7.6978228379852167</v>
      </c>
      <c r="F215" s="235">
        <f>(Veículos!F17+Veículos!F26+Veículos!F35)/(Veículos!F18+Veículos!F27+Veículos!F36)</f>
        <v>13.600759553762167</v>
      </c>
      <c r="G215" s="235">
        <f>(Veículos!G17+Veículos!G26+Veículos!G35)/(Veículos!G18+Veículos!G27+Veículos!G36)</f>
        <v>9.9652173913043498</v>
      </c>
      <c r="H215" s="235">
        <f>(Veículos!H17+Veículos!H26+Veículos!H35)/(Veículos!H18+Veículos!H27+Veículos!H36)</f>
        <v>7.3191409193669932</v>
      </c>
      <c r="I215" s="235">
        <f>(Veículos!I17+Veículos!I26+Veículos!I35)/(Veículos!I18+Veículos!I27+Veículos!I36)</f>
        <v>8.9978858350951381</v>
      </c>
      <c r="J215" s="235">
        <f>(Veículos!J17+Veículos!J26+Veículos!J35)/(Veículos!J18+Veículos!J27+Veículos!J36)</f>
        <v>11.9</v>
      </c>
      <c r="K215" s="235">
        <f>(Veículos!K17+Veículos!K26+Veículos!K35)/(Veículos!K18+Veículos!K27+Veículos!K36)</f>
        <v>69.5</v>
      </c>
      <c r="L215" s="235">
        <f>(Veículos!L17+Veículos!L26+Veículos!L35)/(Veículos!L18+Veículos!L27+Veículos!L36)</f>
        <v>19.399999999999999</v>
      </c>
      <c r="M215" s="235">
        <f>(Veículos!M17+Veículos!M26+Veículos!M35)/(Veículos!M18+Veículos!M27+Veículos!M36)</f>
        <v>7.1507936507936511</v>
      </c>
      <c r="N215" s="235">
        <f>(Veículos!N17+Veículos!N26+Veículos!N35)/(Veículos!N18+Veículos!N27+Veículos!N36)</f>
        <v>1.7658212846646126</v>
      </c>
      <c r="O215" s="236">
        <f>(Veículos!O17+Veículos!O26+Veículos!O35)/(Veículos!O18+Veículos!O27+Veículos!O36)</f>
        <v>4.3537414965986398</v>
      </c>
    </row>
    <row r="216" spans="1:15" s="141" customFormat="1">
      <c r="A216" s="597"/>
      <c r="B216" s="572" t="s">
        <v>6</v>
      </c>
      <c r="C216" s="186" t="s">
        <v>261</v>
      </c>
      <c r="D216" s="228">
        <v>0</v>
      </c>
      <c r="E216" s="228">
        <f>Veículos!E17/Veículos!E18</f>
        <v>3.677563150074294</v>
      </c>
      <c r="F216" s="228">
        <f>Veículos!F17/Veículos!F18</f>
        <v>15.653964984552008</v>
      </c>
      <c r="G216" s="228">
        <f>Veículos!G17/Veículos!G18</f>
        <v>10.82716049382716</v>
      </c>
      <c r="H216" s="228">
        <f>Veículos!H17/Veículos!H18</f>
        <v>6.8999561211057481</v>
      </c>
      <c r="I216" s="228">
        <f>Veículos!I17/Veículos!I18</f>
        <v>8.8279301745635905</v>
      </c>
      <c r="J216" s="228" t="e">
        <f>Veículos!J17/Veículos!J18</f>
        <v>#DIV/0!</v>
      </c>
      <c r="K216" s="228" t="e">
        <f>Veículos!K17/Veículos!K18</f>
        <v>#DIV/0!</v>
      </c>
      <c r="L216" s="228" t="e">
        <f>Veículos!L17/Veículos!L18</f>
        <v>#DIV/0!</v>
      </c>
      <c r="M216" s="228">
        <f>Veículos!M17/Veículos!M18</f>
        <v>6.4854368932038833</v>
      </c>
      <c r="N216" s="228">
        <f>Veículos!N17/Veículos!N18</f>
        <v>2.3356758991318727</v>
      </c>
      <c r="O216" s="233">
        <f>Veículos!O17/Veículos!O18</f>
        <v>4.3310344827586205</v>
      </c>
    </row>
    <row r="217" spans="1:15" s="141" customFormat="1">
      <c r="A217" s="597"/>
      <c r="B217" s="572"/>
      <c r="C217" s="186" t="s">
        <v>147</v>
      </c>
      <c r="D217" s="227">
        <f>Veículos!D19</f>
        <v>0</v>
      </c>
      <c r="E217" s="227">
        <f>Veículos!E19</f>
        <v>94.2</v>
      </c>
      <c r="F217" s="227">
        <f>Veículos!F19</f>
        <v>202.88</v>
      </c>
      <c r="G217" s="227">
        <f>Veículos!G19</f>
        <v>283.52</v>
      </c>
      <c r="H217" s="227">
        <f>Veículos!H19</f>
        <v>358.05</v>
      </c>
      <c r="I217" s="227">
        <f>Veículos!I19</f>
        <v>367.59</v>
      </c>
      <c r="J217" s="227">
        <f>Veículos!J19</f>
        <v>0</v>
      </c>
      <c r="K217" s="227">
        <f>Veículos!K19</f>
        <v>0</v>
      </c>
      <c r="L217" s="227">
        <f>Veículos!L19</f>
        <v>0</v>
      </c>
      <c r="M217" s="227">
        <f>Veículos!M19</f>
        <v>394.87</v>
      </c>
      <c r="N217" s="227">
        <f>Veículos!N19</f>
        <v>182.37</v>
      </c>
      <c r="O217" s="229">
        <f>Veículos!O19</f>
        <v>558.9</v>
      </c>
    </row>
    <row r="218" spans="1:15" s="141" customFormat="1">
      <c r="A218" s="597"/>
      <c r="B218" s="572" t="s">
        <v>14</v>
      </c>
      <c r="C218" s="186" t="s">
        <v>261</v>
      </c>
      <c r="D218" s="228">
        <v>0</v>
      </c>
      <c r="E218" s="228">
        <v>0</v>
      </c>
      <c r="F218" s="228" t="e">
        <f>Veículos!F26/Veículos!F27</f>
        <v>#DIV/0!</v>
      </c>
      <c r="G218" s="228" t="e">
        <f>Veículos!G26/Veículos!G27</f>
        <v>#DIV/0!</v>
      </c>
      <c r="H218" s="228" t="e">
        <f>Veículos!H26/Veículos!H27</f>
        <v>#DIV/0!</v>
      </c>
      <c r="I218" s="228" t="e">
        <f>Veículos!I26/Veículos!I27</f>
        <v>#DIV/0!</v>
      </c>
      <c r="J218" s="228" t="e">
        <f>Veículos!J26/Veículos!J27</f>
        <v>#DIV/0!</v>
      </c>
      <c r="K218" s="228" t="e">
        <f>Veículos!K26/Veículos!K27</f>
        <v>#DIV/0!</v>
      </c>
      <c r="L218" s="228" t="e">
        <f>Veículos!L26/Veículos!L27</f>
        <v>#DIV/0!</v>
      </c>
      <c r="M218" s="228" t="e">
        <f>Veículos!M26/Veículos!M27</f>
        <v>#DIV/0!</v>
      </c>
      <c r="N218" s="228" t="e">
        <f>Veículos!N26/Veículos!N27</f>
        <v>#DIV/0!</v>
      </c>
      <c r="O218" s="233" t="e">
        <f>Veículos!O26/Veículos!O27</f>
        <v>#DIV/0!</v>
      </c>
    </row>
    <row r="219" spans="1:15" s="141" customFormat="1">
      <c r="A219" s="597"/>
      <c r="B219" s="572"/>
      <c r="C219" s="186" t="s">
        <v>147</v>
      </c>
      <c r="D219" s="227">
        <f>Veículos!D28</f>
        <v>0</v>
      </c>
      <c r="E219" s="227">
        <f>Veículos!E28</f>
        <v>0</v>
      </c>
      <c r="F219" s="227">
        <f>Veículos!F28</f>
        <v>0</v>
      </c>
      <c r="G219" s="227">
        <f>Veículos!G28</f>
        <v>0</v>
      </c>
      <c r="H219" s="227">
        <f>Veículos!H28</f>
        <v>0</v>
      </c>
      <c r="I219" s="227">
        <f>Veículos!I28</f>
        <v>0</v>
      </c>
      <c r="J219" s="227">
        <f>Veículos!J28</f>
        <v>0</v>
      </c>
      <c r="K219" s="227">
        <f>Veículos!K28</f>
        <v>0</v>
      </c>
      <c r="L219" s="227">
        <f>Veículos!L28</f>
        <v>0</v>
      </c>
      <c r="M219" s="227">
        <f>Veículos!M28</f>
        <v>0</v>
      </c>
      <c r="N219" s="227">
        <f>Veículos!N28</f>
        <v>0</v>
      </c>
      <c r="O219" s="229">
        <f>Veículos!O28</f>
        <v>0</v>
      </c>
    </row>
    <row r="220" spans="1:15" s="141" customFormat="1">
      <c r="A220" s="597"/>
      <c r="B220" s="572" t="s">
        <v>15</v>
      </c>
      <c r="C220" s="186" t="s">
        <v>261</v>
      </c>
      <c r="D220" s="228">
        <f>Veículos!D35/Veículos!D36</f>
        <v>7.25</v>
      </c>
      <c r="E220" s="228">
        <f>Veículos!E35/Veículos!E36</f>
        <v>9.0000000000000018</v>
      </c>
      <c r="F220" s="228">
        <f>Veículos!F35/Veículos!F36</f>
        <v>9</v>
      </c>
      <c r="G220" s="228">
        <f>Veículos!G35/Veículos!G36</f>
        <v>9.0000000000000036</v>
      </c>
      <c r="H220" s="228">
        <f>Veículos!H35/Veículos!H36</f>
        <v>9.8666666666666671</v>
      </c>
      <c r="I220" s="228">
        <f>Veículos!I35/Veículos!I36</f>
        <v>9.9444444444444446</v>
      </c>
      <c r="J220" s="228">
        <f>Veículos!J35/Veículos!J36</f>
        <v>10.050000000000001</v>
      </c>
      <c r="K220" s="228">
        <f>Veículos!K35/Veículos!K36</f>
        <v>14.5</v>
      </c>
      <c r="L220" s="228">
        <f>Veículos!L35/Veículos!L36</f>
        <v>10.4</v>
      </c>
      <c r="M220" s="228">
        <f>Veículos!M35/Veículos!M36</f>
        <v>10.130434782608695</v>
      </c>
      <c r="N220" s="228">
        <f>Veículos!N35/Veículos!N36</f>
        <v>1</v>
      </c>
      <c r="O220" s="233">
        <f>Veículos!O35/Veículos!O36</f>
        <v>6</v>
      </c>
    </row>
    <row r="221" spans="1:15" s="141" customFormat="1" ht="15.75" thickBot="1">
      <c r="A221" s="598"/>
      <c r="B221" s="550"/>
      <c r="C221" s="230" t="s">
        <v>147</v>
      </c>
      <c r="D221" s="231">
        <f>Veículos!D37</f>
        <v>14.26</v>
      </c>
      <c r="E221" s="231">
        <f>Veículos!E37</f>
        <v>302.52444444444399</v>
      </c>
      <c r="F221" s="231">
        <f>Veículos!F37</f>
        <v>94.64</v>
      </c>
      <c r="G221" s="231">
        <f>Veículos!G37</f>
        <v>263.29333333333301</v>
      </c>
      <c r="H221" s="231">
        <f>Veículos!H37</f>
        <v>55.05</v>
      </c>
      <c r="I221" s="231">
        <f>Veículos!I37</f>
        <v>66.06</v>
      </c>
      <c r="J221" s="231">
        <f>Veículos!J37</f>
        <v>73.400000000000006</v>
      </c>
      <c r="K221" s="231">
        <f>Veículos!K37</f>
        <v>7.34</v>
      </c>
      <c r="L221" s="231">
        <f>Veículos!L37</f>
        <v>71.25</v>
      </c>
      <c r="M221" s="231">
        <f>Veículos!M37</f>
        <v>109.25</v>
      </c>
      <c r="N221" s="231">
        <f>Veículos!N37</f>
        <v>171</v>
      </c>
      <c r="O221" s="232">
        <f>Veículos!O37</f>
        <v>0</v>
      </c>
    </row>
    <row r="223" spans="1:15">
      <c r="H223" s="164">
        <v>2019</v>
      </c>
      <c r="I223" s="465">
        <v>2018</v>
      </c>
      <c r="J223" s="465">
        <v>2017</v>
      </c>
      <c r="K223" s="465">
        <v>2016</v>
      </c>
    </row>
    <row r="224" spans="1:15">
      <c r="G224" s="141" t="s">
        <v>279</v>
      </c>
      <c r="H224" s="164">
        <v>181</v>
      </c>
      <c r="I224" s="465">
        <v>181</v>
      </c>
      <c r="J224" s="465">
        <v>168</v>
      </c>
      <c r="K224" s="465">
        <v>164</v>
      </c>
    </row>
    <row r="225" spans="4:11">
      <c r="G225" s="141" t="s">
        <v>294</v>
      </c>
      <c r="H225" s="164">
        <v>29</v>
      </c>
      <c r="I225" s="465">
        <v>29</v>
      </c>
      <c r="J225" s="465">
        <v>29</v>
      </c>
      <c r="K225" s="465">
        <v>18</v>
      </c>
    </row>
    <row r="226" spans="4:11">
      <c r="G226" s="141" t="s">
        <v>286</v>
      </c>
      <c r="H226" s="506">
        <v>1</v>
      </c>
      <c r="I226" s="465">
        <v>2</v>
      </c>
      <c r="J226" s="465">
        <v>2</v>
      </c>
      <c r="K226" s="465"/>
    </row>
    <row r="227" spans="4:11">
      <c r="D227" s="141"/>
      <c r="G227" s="141" t="s">
        <v>283</v>
      </c>
      <c r="H227" s="164">
        <f>51+15+4+10+13+7+5</f>
        <v>105</v>
      </c>
      <c r="I227" s="164">
        <f>47+14+4+10+13+6+4</f>
        <v>98</v>
      </c>
      <c r="J227" s="164">
        <f>48+14+3+9+12+6+4</f>
        <v>96</v>
      </c>
      <c r="K227" s="465">
        <v>63</v>
      </c>
    </row>
    <row r="228" spans="4:11">
      <c r="D228" s="141"/>
      <c r="G228" s="141" t="s">
        <v>282</v>
      </c>
      <c r="H228" s="164">
        <v>76</v>
      </c>
      <c r="I228" s="465">
        <v>76</v>
      </c>
      <c r="J228" s="465">
        <v>76</v>
      </c>
      <c r="K228" s="465">
        <v>62</v>
      </c>
    </row>
    <row r="229" spans="4:11">
      <c r="D229" s="141"/>
      <c r="G229" s="141" t="s">
        <v>284</v>
      </c>
      <c r="H229" s="164">
        <v>2</v>
      </c>
      <c r="I229" s="465">
        <v>6</v>
      </c>
      <c r="J229" s="465">
        <v>4</v>
      </c>
      <c r="K229" s="465">
        <v>10</v>
      </c>
    </row>
    <row r="230" spans="4:11">
      <c r="D230" s="141"/>
      <c r="G230" s="141" t="s">
        <v>280</v>
      </c>
      <c r="H230" s="164">
        <v>26</v>
      </c>
      <c r="I230" s="465">
        <v>23</v>
      </c>
      <c r="J230" s="465">
        <v>21</v>
      </c>
      <c r="K230" s="466">
        <v>19</v>
      </c>
    </row>
    <row r="231" spans="4:11">
      <c r="G231" s="141" t="s">
        <v>287</v>
      </c>
      <c r="H231" s="164">
        <v>1</v>
      </c>
      <c r="I231" s="465">
        <v>1</v>
      </c>
      <c r="J231" s="465">
        <v>1</v>
      </c>
      <c r="K231" s="465">
        <v>1</v>
      </c>
    </row>
    <row r="232" spans="4:11">
      <c r="G232" s="141" t="s">
        <v>281</v>
      </c>
      <c r="H232" s="164">
        <v>14</v>
      </c>
      <c r="I232" s="465">
        <v>14</v>
      </c>
      <c r="J232" s="465">
        <v>14</v>
      </c>
      <c r="K232" s="465"/>
    </row>
    <row r="233" spans="4:11">
      <c r="I233" s="465"/>
      <c r="J233" s="465"/>
      <c r="K233" s="465"/>
    </row>
    <row r="234" spans="4:11">
      <c r="G234" s="141" t="s">
        <v>285</v>
      </c>
      <c r="H234" s="164">
        <v>11506.09</v>
      </c>
      <c r="I234" s="465">
        <v>11506.09</v>
      </c>
      <c r="J234" s="465">
        <v>11506.09</v>
      </c>
      <c r="K234" s="465">
        <v>11506.09</v>
      </c>
    </row>
    <row r="235" spans="4:11">
      <c r="H235" s="465"/>
      <c r="I235" s="465"/>
      <c r="J235" s="465"/>
    </row>
  </sheetData>
  <protectedRanges>
    <protectedRange sqref="D102:O109 D84:O91 D93:O100 D111:O118" name="Intervalo1_1" securityDescriptor="O:WDG:WDD:(A;;CC;;;WD)"/>
    <protectedRange sqref="D202:O207 D209:O214 D216:O221" name="Intervalo1_2" securityDescriptor="O:WDG:WDD:(A;;CC;;;WD)"/>
  </protectedRanges>
  <mergeCells count="216">
    <mergeCell ref="B218:B219"/>
    <mergeCell ref="B220:B221"/>
    <mergeCell ref="B215:C215"/>
    <mergeCell ref="A215:A221"/>
    <mergeCell ref="B7:C7"/>
    <mergeCell ref="B1:L2"/>
    <mergeCell ref="B3:L4"/>
    <mergeCell ref="B209:B210"/>
    <mergeCell ref="B211:B212"/>
    <mergeCell ref="B213:B214"/>
    <mergeCell ref="B208:C208"/>
    <mergeCell ref="A208:A214"/>
    <mergeCell ref="B216:B217"/>
    <mergeCell ref="B202:B203"/>
    <mergeCell ref="A201:A207"/>
    <mergeCell ref="B201:C201"/>
    <mergeCell ref="B204:B205"/>
    <mergeCell ref="B206:B207"/>
    <mergeCell ref="A189:A192"/>
    <mergeCell ref="A193:A196"/>
    <mergeCell ref="A197:A200"/>
    <mergeCell ref="B196:C196"/>
    <mergeCell ref="B198:C198"/>
    <mergeCell ref="B199:C199"/>
    <mergeCell ref="B200:C200"/>
    <mergeCell ref="B185:C185"/>
    <mergeCell ref="B189:C189"/>
    <mergeCell ref="B193:C193"/>
    <mergeCell ref="B197:C197"/>
    <mergeCell ref="B188:C188"/>
    <mergeCell ref="B190:C190"/>
    <mergeCell ref="B191:C191"/>
    <mergeCell ref="B192:C192"/>
    <mergeCell ref="B194:C194"/>
    <mergeCell ref="B195:C195"/>
    <mergeCell ref="A169:A172"/>
    <mergeCell ref="A173:A176"/>
    <mergeCell ref="A177:A180"/>
    <mergeCell ref="A181:A184"/>
    <mergeCell ref="B186:C186"/>
    <mergeCell ref="B187:C187"/>
    <mergeCell ref="A185:A188"/>
    <mergeCell ref="A145:A148"/>
    <mergeCell ref="A149:A152"/>
    <mergeCell ref="A153:A156"/>
    <mergeCell ref="A157:A160"/>
    <mergeCell ref="A161:A164"/>
    <mergeCell ref="A165:A168"/>
    <mergeCell ref="B184:C184"/>
    <mergeCell ref="B181:C181"/>
    <mergeCell ref="B177:C177"/>
    <mergeCell ref="B173:C173"/>
    <mergeCell ref="B169:C169"/>
    <mergeCell ref="B165:C165"/>
    <mergeCell ref="B176:C176"/>
    <mergeCell ref="B178:C178"/>
    <mergeCell ref="B179:C179"/>
    <mergeCell ref="B180:C180"/>
    <mergeCell ref="B182:C182"/>
    <mergeCell ref="B183:C183"/>
    <mergeCell ref="B168:C168"/>
    <mergeCell ref="B170:C170"/>
    <mergeCell ref="B171:C171"/>
    <mergeCell ref="B172:C172"/>
    <mergeCell ref="B174:C174"/>
    <mergeCell ref="B175:C175"/>
    <mergeCell ref="B160:C160"/>
    <mergeCell ref="B162:C162"/>
    <mergeCell ref="B163:C163"/>
    <mergeCell ref="B164:C164"/>
    <mergeCell ref="B166:C166"/>
    <mergeCell ref="B167:C167"/>
    <mergeCell ref="B161:C161"/>
    <mergeCell ref="B152:C152"/>
    <mergeCell ref="B154:C154"/>
    <mergeCell ref="B155:C155"/>
    <mergeCell ref="B156:C156"/>
    <mergeCell ref="B158:C158"/>
    <mergeCell ref="B159:C159"/>
    <mergeCell ref="B153:C153"/>
    <mergeCell ref="B157:C157"/>
    <mergeCell ref="B141:C141"/>
    <mergeCell ref="B146:C146"/>
    <mergeCell ref="B147:C147"/>
    <mergeCell ref="B148:C148"/>
    <mergeCell ref="B150:C150"/>
    <mergeCell ref="B151:C151"/>
    <mergeCell ref="B145:C145"/>
    <mergeCell ref="B149:C149"/>
    <mergeCell ref="B142:C142"/>
    <mergeCell ref="B143:C143"/>
    <mergeCell ref="B144:C144"/>
    <mergeCell ref="B133:C133"/>
    <mergeCell ref="A133:A136"/>
    <mergeCell ref="A137:A140"/>
    <mergeCell ref="A141:A144"/>
    <mergeCell ref="B135:C135"/>
    <mergeCell ref="B136:C136"/>
    <mergeCell ref="B138:C138"/>
    <mergeCell ref="B139:C139"/>
    <mergeCell ref="B140:C140"/>
    <mergeCell ref="B137:C137"/>
    <mergeCell ref="B134:C134"/>
    <mergeCell ref="B125:C125"/>
    <mergeCell ref="A124:A128"/>
    <mergeCell ref="B126:C126"/>
    <mergeCell ref="B127:C127"/>
    <mergeCell ref="B122:C122"/>
    <mergeCell ref="B123:C123"/>
    <mergeCell ref="B128:C128"/>
    <mergeCell ref="B120:C120"/>
    <mergeCell ref="A129:A132"/>
    <mergeCell ref="B129:C129"/>
    <mergeCell ref="B130:C130"/>
    <mergeCell ref="B131:C131"/>
    <mergeCell ref="B132:C132"/>
    <mergeCell ref="B111:B113"/>
    <mergeCell ref="B114:B116"/>
    <mergeCell ref="A101:A109"/>
    <mergeCell ref="B101:C101"/>
    <mergeCell ref="B110:C110"/>
    <mergeCell ref="A110:A118"/>
    <mergeCell ref="B124:C124"/>
    <mergeCell ref="B119:C119"/>
    <mergeCell ref="A119:A123"/>
    <mergeCell ref="B121:C121"/>
    <mergeCell ref="A92:A100"/>
    <mergeCell ref="B102:B104"/>
    <mergeCell ref="B105:B107"/>
    <mergeCell ref="B79:C79"/>
    <mergeCell ref="B80:C80"/>
    <mergeCell ref="B81:C81"/>
    <mergeCell ref="B82:C82"/>
    <mergeCell ref="B93:B95"/>
    <mergeCell ref="B96:B98"/>
    <mergeCell ref="B83:C83"/>
    <mergeCell ref="A83:A91"/>
    <mergeCell ref="B92:C92"/>
    <mergeCell ref="B87:B89"/>
    <mergeCell ref="B73:C73"/>
    <mergeCell ref="B74:C74"/>
    <mergeCell ref="B75:C75"/>
    <mergeCell ref="B76:C76"/>
    <mergeCell ref="B77:C77"/>
    <mergeCell ref="B78:C78"/>
    <mergeCell ref="B66:C66"/>
    <mergeCell ref="B67:C67"/>
    <mergeCell ref="B69:C69"/>
    <mergeCell ref="B70:C70"/>
    <mergeCell ref="B71:C71"/>
    <mergeCell ref="B72:C72"/>
    <mergeCell ref="B68:C68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52:C52"/>
    <mergeCell ref="B41:C41"/>
    <mergeCell ref="B42:C42"/>
    <mergeCell ref="B43:C43"/>
    <mergeCell ref="B44:C44"/>
    <mergeCell ref="B45:C45"/>
    <mergeCell ref="B46:C46"/>
    <mergeCell ref="B60:C60"/>
    <mergeCell ref="B61:C61"/>
    <mergeCell ref="B47:C47"/>
    <mergeCell ref="B48:C48"/>
    <mergeCell ref="B49:C49"/>
    <mergeCell ref="B21:C21"/>
    <mergeCell ref="B22:C22"/>
    <mergeCell ref="B24:C24"/>
    <mergeCell ref="B25:C25"/>
    <mergeCell ref="B26:C26"/>
    <mergeCell ref="B27:C27"/>
    <mergeCell ref="B34:C34"/>
    <mergeCell ref="B35:C35"/>
    <mergeCell ref="B36:C36"/>
    <mergeCell ref="B37:C37"/>
    <mergeCell ref="B39:C39"/>
    <mergeCell ref="B40:C40"/>
    <mergeCell ref="B28:C28"/>
    <mergeCell ref="B29:C29"/>
    <mergeCell ref="B30:C30"/>
    <mergeCell ref="B31:C31"/>
    <mergeCell ref="B32:C32"/>
    <mergeCell ref="B33:C33"/>
    <mergeCell ref="A8:A22"/>
    <mergeCell ref="A23:A37"/>
    <mergeCell ref="A38:A52"/>
    <mergeCell ref="A68:A82"/>
    <mergeCell ref="A53:A67"/>
    <mergeCell ref="B84:B86"/>
    <mergeCell ref="B8:C8"/>
    <mergeCell ref="B23:C23"/>
    <mergeCell ref="B38:C38"/>
    <mergeCell ref="B53:C5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50:C50"/>
    <mergeCell ref="B51:C51"/>
  </mergeCells>
  <pageMargins left="0.17" right="0.17" top="0.35" bottom="0.34" header="0.31496062992125984" footer="0.31496062992125984"/>
  <pageSetup paperSize="9" scale="54" fitToHeight="1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95"/>
  <sheetViews>
    <sheetView workbookViewId="0">
      <selection activeCell="E8" sqref="E8"/>
    </sheetView>
  </sheetViews>
  <sheetFormatPr defaultColWidth="9.140625" defaultRowHeight="15"/>
  <cols>
    <col min="1" max="1" width="25.7109375" style="164" customWidth="1"/>
    <col min="2" max="2" width="36.7109375" style="164" customWidth="1"/>
    <col min="3" max="3" width="15.7109375" style="164" customWidth="1"/>
    <col min="4" max="5" width="20.7109375" style="164" customWidth="1"/>
    <col min="6" max="16384" width="9.140625" style="164"/>
  </cols>
  <sheetData>
    <row r="1" spans="1:21" s="141" customFormat="1" ht="23.25">
      <c r="B1" s="511" t="s">
        <v>0</v>
      </c>
      <c r="C1" s="511"/>
      <c r="D1" s="511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s="141" customFormat="1" ht="23.25">
      <c r="B2" s="511"/>
      <c r="C2" s="511"/>
      <c r="D2" s="511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s="141" customFormat="1">
      <c r="B3" s="548" t="s">
        <v>277</v>
      </c>
      <c r="C3" s="548"/>
      <c r="D3" s="548"/>
      <c r="E3" s="252"/>
      <c r="F3" s="252"/>
      <c r="G3" s="252"/>
      <c r="H3" s="252"/>
      <c r="I3" s="252"/>
      <c r="J3" s="252"/>
      <c r="K3" s="252"/>
      <c r="L3" s="252"/>
      <c r="M3" s="144"/>
      <c r="N3" s="144"/>
      <c r="O3" s="144"/>
      <c r="P3" s="144"/>
      <c r="Q3" s="144"/>
      <c r="R3" s="144"/>
      <c r="S3" s="144"/>
      <c r="T3" s="144"/>
      <c r="U3" s="144"/>
    </row>
    <row r="4" spans="1:21" s="141" customFormat="1">
      <c r="B4" s="548"/>
      <c r="C4" s="548"/>
      <c r="D4" s="548"/>
      <c r="E4" s="252"/>
      <c r="F4" s="252"/>
      <c r="G4" s="252"/>
      <c r="H4" s="252"/>
      <c r="I4" s="252"/>
      <c r="J4" s="252"/>
      <c r="K4" s="252"/>
      <c r="L4" s="252"/>
      <c r="M4" s="144"/>
      <c r="N4" s="144"/>
      <c r="O4" s="144"/>
      <c r="P4" s="144"/>
      <c r="Q4" s="144"/>
      <c r="R4" s="144"/>
      <c r="S4" s="144"/>
      <c r="T4" s="144"/>
      <c r="U4" s="144"/>
    </row>
    <row r="5" spans="1:21" s="141" customFormat="1"/>
    <row r="6" spans="1:21" ht="15.75" thickBot="1"/>
    <row r="7" spans="1:21" ht="30.75" thickBot="1">
      <c r="A7" s="184" t="s">
        <v>253</v>
      </c>
      <c r="B7" s="599" t="s">
        <v>254</v>
      </c>
      <c r="C7" s="600"/>
      <c r="D7" s="148" t="s">
        <v>295</v>
      </c>
      <c r="E7" s="148" t="s">
        <v>296</v>
      </c>
    </row>
    <row r="8" spans="1:21" ht="30" customHeight="1">
      <c r="A8" s="604" t="s">
        <v>27</v>
      </c>
      <c r="B8" s="584" t="s">
        <v>262</v>
      </c>
      <c r="C8" s="584"/>
      <c r="D8" s="182">
        <f>Descartáveis!B14/355</f>
        <v>4.0591549295774652</v>
      </c>
      <c r="E8" s="182">
        <f>Descartáveis!D14/355</f>
        <v>1.6366197183098592</v>
      </c>
    </row>
    <row r="9" spans="1:21" s="141" customFormat="1">
      <c r="A9" s="605"/>
      <c r="B9" s="586" t="s">
        <v>6</v>
      </c>
      <c r="C9" s="586"/>
      <c r="D9" s="207">
        <f>Descartáveis!B11/253</f>
        <v>4.0711462450592881</v>
      </c>
      <c r="E9" s="207">
        <f>Descartáveis!D11/253</f>
        <v>1.308300395256917</v>
      </c>
    </row>
    <row r="10" spans="1:21" s="141" customFormat="1">
      <c r="A10" s="605"/>
      <c r="B10" s="586" t="s">
        <v>14</v>
      </c>
      <c r="C10" s="586"/>
      <c r="D10" s="207">
        <f>Descartáveis!B12/59</f>
        <v>5.0847457627118642</v>
      </c>
      <c r="E10" s="207">
        <f>Descartáveis!D12/59</f>
        <v>1.6949152542372881</v>
      </c>
    </row>
    <row r="11" spans="1:21" s="141" customFormat="1" ht="15.75" thickBot="1">
      <c r="A11" s="606"/>
      <c r="B11" s="593" t="s">
        <v>15</v>
      </c>
      <c r="C11" s="593"/>
      <c r="D11" s="240">
        <f>Descartáveis!B13/43</f>
        <v>2.5813953488372094</v>
      </c>
      <c r="E11" s="240">
        <f>Descartáveis!D13/43</f>
        <v>3.4883720930232558</v>
      </c>
    </row>
    <row r="12" spans="1:21" ht="30" customHeight="1">
      <c r="A12" s="581" t="s">
        <v>28</v>
      </c>
      <c r="B12" s="573" t="s">
        <v>263</v>
      </c>
      <c r="C12" s="574"/>
      <c r="D12" s="238">
        <f>Descartáveis!C14</f>
        <v>3467.26</v>
      </c>
      <c r="E12" s="239">
        <f>Descartáveis!E14</f>
        <v>1420.31</v>
      </c>
    </row>
    <row r="13" spans="1:21" s="141" customFormat="1">
      <c r="A13" s="582"/>
      <c r="B13" s="586" t="s">
        <v>6</v>
      </c>
      <c r="C13" s="586"/>
      <c r="D13" s="207">
        <f>Descartáveis!C11</f>
        <v>2482.3000000000002</v>
      </c>
      <c r="E13" s="211">
        <f>Descartáveis!E11</f>
        <v>830.31</v>
      </c>
    </row>
    <row r="14" spans="1:21" s="141" customFormat="1">
      <c r="A14" s="582"/>
      <c r="B14" s="586" t="s">
        <v>14</v>
      </c>
      <c r="C14" s="586"/>
      <c r="D14" s="207">
        <f>Descartáveis!C12</f>
        <v>723</v>
      </c>
      <c r="E14" s="211">
        <f>Descartáveis!E12</f>
        <v>236</v>
      </c>
    </row>
    <row r="15" spans="1:21" s="141" customFormat="1" ht="15.75" thickBot="1">
      <c r="A15" s="583"/>
      <c r="B15" s="589" t="s">
        <v>15</v>
      </c>
      <c r="C15" s="589"/>
      <c r="D15" s="208">
        <f>Descartáveis!C13</f>
        <v>261.95999999999998</v>
      </c>
      <c r="E15" s="212">
        <f>Descartáveis!E13</f>
        <v>354</v>
      </c>
    </row>
    <row r="16" spans="1:21" ht="30" customHeight="1">
      <c r="A16" s="581" t="s">
        <v>29</v>
      </c>
      <c r="B16" s="573" t="s">
        <v>264</v>
      </c>
      <c r="C16" s="574"/>
      <c r="D16" s="182">
        <f>Descartáveis!B24/355</f>
        <v>0.29859154929577464</v>
      </c>
      <c r="E16" s="183">
        <f>Descartáveis!D24/355</f>
        <v>0.30422535211267604</v>
      </c>
    </row>
    <row r="17" spans="1:5" s="141" customFormat="1">
      <c r="A17" s="582"/>
      <c r="B17" s="586" t="s">
        <v>6</v>
      </c>
      <c r="C17" s="586"/>
      <c r="D17" s="207">
        <f>Descartáveis!B21/253</f>
        <v>0.19762845849802371</v>
      </c>
      <c r="E17" s="211">
        <f>Descartáveis!D21/253</f>
        <v>0.19762845849802371</v>
      </c>
    </row>
    <row r="18" spans="1:5" s="141" customFormat="1">
      <c r="A18" s="582"/>
      <c r="B18" s="586" t="s">
        <v>14</v>
      </c>
      <c r="C18" s="586"/>
      <c r="D18" s="207">
        <f>Descartáveis!B22/59</f>
        <v>0.50847457627118642</v>
      </c>
      <c r="E18" s="211">
        <f>Descartáveis!D22/59</f>
        <v>0.33898305084745761</v>
      </c>
    </row>
    <row r="19" spans="1:5" s="141" customFormat="1" ht="15.75" thickBot="1">
      <c r="A19" s="583"/>
      <c r="B19" s="589" t="s">
        <v>15</v>
      </c>
      <c r="C19" s="589"/>
      <c r="D19" s="208">
        <f>Descartáveis!B23/43</f>
        <v>0.60465116279069764</v>
      </c>
      <c r="E19" s="212">
        <f>Descartáveis!D23/43</f>
        <v>0.88372093023255816</v>
      </c>
    </row>
    <row r="20" spans="1:5">
      <c r="A20" s="581" t="s">
        <v>30</v>
      </c>
      <c r="B20" s="573" t="s">
        <v>265</v>
      </c>
      <c r="C20" s="574"/>
      <c r="D20" s="238">
        <f>Descartáveis!C24</f>
        <v>123.53999999999999</v>
      </c>
      <c r="E20" s="239">
        <f>Descartáveis!E24</f>
        <v>130.82</v>
      </c>
    </row>
    <row r="21" spans="1:5" s="141" customFormat="1">
      <c r="A21" s="582"/>
      <c r="B21" s="586" t="s">
        <v>6</v>
      </c>
      <c r="C21" s="586"/>
      <c r="D21" s="207">
        <f>Descartáveis!C21</f>
        <v>53</v>
      </c>
      <c r="E21" s="211">
        <f>Descartáveis!E21</f>
        <v>53</v>
      </c>
    </row>
    <row r="22" spans="1:5" s="141" customFormat="1">
      <c r="A22" s="582"/>
      <c r="B22" s="586" t="s">
        <v>14</v>
      </c>
      <c r="C22" s="586"/>
      <c r="D22" s="207">
        <f>Descartáveis!C22</f>
        <v>31.8</v>
      </c>
      <c r="E22" s="211">
        <f>Descartáveis!E22</f>
        <v>21.2</v>
      </c>
    </row>
    <row r="23" spans="1:5" s="141" customFormat="1" ht="15.75" thickBot="1">
      <c r="A23" s="583"/>
      <c r="B23" s="593" t="s">
        <v>15</v>
      </c>
      <c r="C23" s="593"/>
      <c r="D23" s="240">
        <f>Descartáveis!C23</f>
        <v>38.74</v>
      </c>
      <c r="E23" s="241">
        <f>Descartáveis!E23</f>
        <v>56.62</v>
      </c>
    </row>
    <row r="24" spans="1:5" ht="30" customHeight="1">
      <c r="A24" s="566" t="s">
        <v>31</v>
      </c>
      <c r="B24" s="603" t="s">
        <v>266</v>
      </c>
      <c r="C24" s="584"/>
      <c r="D24" s="198">
        <f>D12+D20</f>
        <v>3590.8</v>
      </c>
      <c r="E24" s="199">
        <f>E12+E20</f>
        <v>1551.1299999999999</v>
      </c>
    </row>
    <row r="25" spans="1:5" s="141" customFormat="1">
      <c r="A25" s="567"/>
      <c r="B25" s="601" t="s">
        <v>6</v>
      </c>
      <c r="C25" s="586"/>
      <c r="D25" s="207">
        <f>'Indicadores - Semestrais'!D13+'Indicadores - Semestrais'!D21</f>
        <v>2535.3000000000002</v>
      </c>
      <c r="E25" s="211">
        <f>'Indicadores - Semestrais'!E13+'Indicadores - Semestrais'!E21</f>
        <v>883.31</v>
      </c>
    </row>
    <row r="26" spans="1:5" s="141" customFormat="1">
      <c r="A26" s="567"/>
      <c r="B26" s="601" t="s">
        <v>14</v>
      </c>
      <c r="C26" s="586"/>
      <c r="D26" s="207">
        <f>'Indicadores - Semestrais'!D14+'Indicadores - Semestrais'!D22</f>
        <v>754.8</v>
      </c>
      <c r="E26" s="211">
        <f>'Indicadores - Semestrais'!E14+'Indicadores - Semestrais'!E22</f>
        <v>257.2</v>
      </c>
    </row>
    <row r="27" spans="1:5" s="141" customFormat="1" ht="15.75" thickBot="1">
      <c r="A27" s="607"/>
      <c r="B27" s="602" t="s">
        <v>15</v>
      </c>
      <c r="C27" s="589"/>
      <c r="D27" s="208">
        <f>'Indicadores - Semestrais'!D15+'Indicadores - Semestrais'!D23</f>
        <v>300.7</v>
      </c>
      <c r="E27" s="212">
        <f>'Indicadores - Semestrais'!E15+'Indicadores - Semestrais'!E23</f>
        <v>410.62</v>
      </c>
    </row>
    <row r="28" spans="1:5" ht="30.75" customHeight="1">
      <c r="A28" s="581" t="s">
        <v>35</v>
      </c>
      <c r="B28" s="584" t="s">
        <v>267</v>
      </c>
      <c r="C28" s="584"/>
      <c r="D28" s="198">
        <f>D29+D30+D31</f>
        <v>96</v>
      </c>
      <c r="E28" s="199">
        <f>E29+E30+E31</f>
        <v>384</v>
      </c>
    </row>
    <row r="29" spans="1:5" s="141" customFormat="1">
      <c r="A29" s="582"/>
      <c r="B29" s="586" t="s">
        <v>6</v>
      </c>
      <c r="C29" s="586"/>
      <c r="D29" s="207">
        <f>'Água Engarrafada'!B11</f>
        <v>0</v>
      </c>
      <c r="E29" s="211">
        <f>'Água Engarrafada'!D11</f>
        <v>0</v>
      </c>
    </row>
    <row r="30" spans="1:5" s="141" customFormat="1">
      <c r="A30" s="582"/>
      <c r="B30" s="586" t="s">
        <v>14</v>
      </c>
      <c r="C30" s="586"/>
      <c r="D30" s="207">
        <f>'Água Engarrafada'!B12</f>
        <v>0</v>
      </c>
      <c r="E30" s="211">
        <f>'Água Engarrafada'!D12</f>
        <v>0</v>
      </c>
    </row>
    <row r="31" spans="1:5" s="141" customFormat="1" ht="15.75" thickBot="1">
      <c r="A31" s="583"/>
      <c r="B31" s="589" t="s">
        <v>15</v>
      </c>
      <c r="C31" s="589"/>
      <c r="D31" s="208">
        <f>'Água Engarrafada'!B13</f>
        <v>96</v>
      </c>
      <c r="E31" s="212">
        <f>'Água Engarrafada'!D13</f>
        <v>384</v>
      </c>
    </row>
    <row r="32" spans="1:5">
      <c r="A32" s="581" t="s">
        <v>36</v>
      </c>
      <c r="B32" s="584" t="s">
        <v>268</v>
      </c>
      <c r="C32" s="584"/>
      <c r="D32" s="198">
        <f>D33+D34+D35</f>
        <v>510</v>
      </c>
      <c r="E32" s="199">
        <f>E33+E34+E35</f>
        <v>635</v>
      </c>
    </row>
    <row r="33" spans="1:5" s="141" customFormat="1">
      <c r="A33" s="582"/>
      <c r="B33" s="586" t="s">
        <v>6</v>
      </c>
      <c r="C33" s="586"/>
      <c r="D33" s="207">
        <f>'Água Engarrafada'!B22</f>
        <v>0</v>
      </c>
      <c r="E33" s="211">
        <f>'Água Engarrafada'!D22</f>
        <v>0</v>
      </c>
    </row>
    <row r="34" spans="1:5" s="141" customFormat="1">
      <c r="A34" s="582"/>
      <c r="B34" s="586" t="s">
        <v>14</v>
      </c>
      <c r="C34" s="586"/>
      <c r="D34" s="207">
        <f>'Água Engarrafada'!B23</f>
        <v>360</v>
      </c>
      <c r="E34" s="211">
        <f>'Água Engarrafada'!D23</f>
        <v>480</v>
      </c>
    </row>
    <row r="35" spans="1:5" s="141" customFormat="1" ht="15.75" thickBot="1">
      <c r="A35" s="583"/>
      <c r="B35" s="589" t="s">
        <v>15</v>
      </c>
      <c r="C35" s="589"/>
      <c r="D35" s="208">
        <f>'Água Engarrafada'!B24</f>
        <v>150</v>
      </c>
      <c r="E35" s="212">
        <f>'Água Engarrafada'!D24</f>
        <v>155</v>
      </c>
    </row>
    <row r="36" spans="1:5" ht="30" customHeight="1">
      <c r="A36" s="581" t="s">
        <v>165</v>
      </c>
      <c r="B36" s="584" t="s">
        <v>269</v>
      </c>
      <c r="C36" s="584"/>
      <c r="D36" s="198">
        <f>D37+D38+D39</f>
        <v>44</v>
      </c>
      <c r="E36" s="199">
        <f>E37+E38+E39</f>
        <v>176</v>
      </c>
    </row>
    <row r="37" spans="1:5" s="141" customFormat="1">
      <c r="A37" s="582"/>
      <c r="B37" s="586" t="s">
        <v>6</v>
      </c>
      <c r="C37" s="586"/>
      <c r="D37" s="207">
        <f>'Água Engarrafada'!C11</f>
        <v>0</v>
      </c>
      <c r="E37" s="211">
        <f>'Água Engarrafada'!E11</f>
        <v>0</v>
      </c>
    </row>
    <row r="38" spans="1:5" s="141" customFormat="1">
      <c r="A38" s="582"/>
      <c r="B38" s="586" t="s">
        <v>14</v>
      </c>
      <c r="C38" s="586"/>
      <c r="D38" s="207">
        <f>'Água Engarrafada'!C12</f>
        <v>0</v>
      </c>
      <c r="E38" s="211">
        <f>'Água Engarrafada'!E12</f>
        <v>0</v>
      </c>
    </row>
    <row r="39" spans="1:5" s="141" customFormat="1" ht="15.75" thickBot="1">
      <c r="A39" s="583"/>
      <c r="B39" s="589" t="s">
        <v>15</v>
      </c>
      <c r="C39" s="589"/>
      <c r="D39" s="208">
        <f>'Água Engarrafada'!C13</f>
        <v>44</v>
      </c>
      <c r="E39" s="212">
        <f>'Água Engarrafada'!E13</f>
        <v>176</v>
      </c>
    </row>
    <row r="40" spans="1:5">
      <c r="A40" s="581" t="s">
        <v>38</v>
      </c>
      <c r="B40" s="584" t="s">
        <v>270</v>
      </c>
      <c r="C40" s="584"/>
      <c r="D40" s="198">
        <f>D41+D42+D43</f>
        <v>4917</v>
      </c>
      <c r="E40" s="199">
        <f>E41+E42+E43</f>
        <v>6128.5</v>
      </c>
    </row>
    <row r="41" spans="1:5" s="141" customFormat="1">
      <c r="A41" s="582"/>
      <c r="B41" s="586" t="s">
        <v>6</v>
      </c>
      <c r="C41" s="586"/>
      <c r="D41" s="207">
        <f>'Água Engarrafada'!C22</f>
        <v>0</v>
      </c>
      <c r="E41" s="211">
        <f>'Água Engarrafada'!E22</f>
        <v>0</v>
      </c>
    </row>
    <row r="42" spans="1:5" s="141" customFormat="1">
      <c r="A42" s="582"/>
      <c r="B42" s="586" t="s">
        <v>14</v>
      </c>
      <c r="C42" s="586"/>
      <c r="D42" s="207">
        <f>'Água Engarrafada'!C23</f>
        <v>3492</v>
      </c>
      <c r="E42" s="211">
        <f>'Água Engarrafada'!E23</f>
        <v>4656</v>
      </c>
    </row>
    <row r="43" spans="1:5" s="141" customFormat="1" ht="15.75" thickBot="1">
      <c r="A43" s="582"/>
      <c r="B43" s="593" t="s">
        <v>15</v>
      </c>
      <c r="C43" s="593"/>
      <c r="D43" s="240">
        <f>'Água Engarrafada'!C24</f>
        <v>1425</v>
      </c>
      <c r="E43" s="241">
        <f>'Água Engarrafada'!E24</f>
        <v>1472.5</v>
      </c>
    </row>
    <row r="44" spans="1:5" ht="30.75" customHeight="1">
      <c r="A44" s="568" t="s">
        <v>42</v>
      </c>
      <c r="B44" s="584" t="s">
        <v>271</v>
      </c>
      <c r="C44" s="584"/>
      <c r="D44" s="182">
        <f>(Impressões!B11+Impressões!B19+Impressões!B22)/355</f>
        <v>0</v>
      </c>
      <c r="E44" s="183">
        <f>(Impressões!D11+Impressões!D19+Impressões!D22)/355</f>
        <v>0</v>
      </c>
    </row>
    <row r="45" spans="1:5" s="141" customFormat="1">
      <c r="A45" s="569"/>
      <c r="B45" s="586" t="s">
        <v>6</v>
      </c>
      <c r="C45" s="586"/>
      <c r="D45" s="207">
        <f>Impressões!B11/253</f>
        <v>0</v>
      </c>
      <c r="E45" s="211">
        <f>Impressões!D11/253</f>
        <v>0</v>
      </c>
    </row>
    <row r="46" spans="1:5" s="141" customFormat="1">
      <c r="A46" s="569"/>
      <c r="B46" s="586" t="s">
        <v>14</v>
      </c>
      <c r="C46" s="586"/>
      <c r="D46" s="207">
        <f>Impressões!B19/59</f>
        <v>0</v>
      </c>
      <c r="E46" s="211">
        <f>Impressões!D19/59</f>
        <v>0</v>
      </c>
    </row>
    <row r="47" spans="1:5" s="141" customFormat="1" ht="15.75" thickBot="1">
      <c r="A47" s="585"/>
      <c r="B47" s="589" t="s">
        <v>15</v>
      </c>
      <c r="C47" s="589"/>
      <c r="D47" s="208">
        <f>Impressões!B22/43</f>
        <v>0</v>
      </c>
      <c r="E47" s="212">
        <f>Impressões!D22/43</f>
        <v>0</v>
      </c>
    </row>
    <row r="48" spans="1:5" ht="30" customHeight="1">
      <c r="A48" s="581" t="s">
        <v>43</v>
      </c>
      <c r="B48" s="584" t="s">
        <v>272</v>
      </c>
      <c r="C48" s="584"/>
      <c r="D48" s="198">
        <f>D49+D50+D51</f>
        <v>0</v>
      </c>
      <c r="E48" s="199">
        <f>E49+E50+E51</f>
        <v>0</v>
      </c>
    </row>
    <row r="49" spans="1:5" s="141" customFormat="1">
      <c r="A49" s="582"/>
      <c r="B49" s="608" t="s">
        <v>6</v>
      </c>
      <c r="C49" s="609"/>
      <c r="D49" s="242">
        <f>Impressões!C11</f>
        <v>0</v>
      </c>
      <c r="E49" s="243">
        <f>Impressões!E11</f>
        <v>0</v>
      </c>
    </row>
    <row r="50" spans="1:5" s="141" customFormat="1">
      <c r="A50" s="582"/>
      <c r="B50" s="575" t="s">
        <v>14</v>
      </c>
      <c r="C50" s="576"/>
      <c r="D50" s="242">
        <f>Impressões!C19</f>
        <v>0</v>
      </c>
      <c r="E50" s="243">
        <f>Impressões!E19</f>
        <v>0</v>
      </c>
    </row>
    <row r="51" spans="1:5" s="141" customFormat="1" ht="15.75" thickBot="1">
      <c r="A51" s="582"/>
      <c r="B51" s="587" t="s">
        <v>15</v>
      </c>
      <c r="C51" s="588"/>
      <c r="D51" s="244">
        <f>Impressões!C22</f>
        <v>0</v>
      </c>
      <c r="E51" s="245">
        <f>Impressões!E22</f>
        <v>0</v>
      </c>
    </row>
    <row r="52" spans="1:5" ht="30.75" customHeight="1">
      <c r="A52" s="581" t="s">
        <v>46</v>
      </c>
      <c r="B52" s="584" t="s">
        <v>273</v>
      </c>
      <c r="C52" s="584"/>
      <c r="D52" s="198" t="e">
        <f>D53+D54+D55</f>
        <v>#DIV/0!</v>
      </c>
      <c r="E52" s="199" t="e">
        <f>E53+E54+E55</f>
        <v>#DIV/0!</v>
      </c>
    </row>
    <row r="53" spans="1:5" s="141" customFormat="1">
      <c r="A53" s="582"/>
      <c r="B53" s="586" t="s">
        <v>6</v>
      </c>
      <c r="C53" s="586"/>
      <c r="D53" s="246" t="e">
        <f>Impressões!B11/Impressões!C11</f>
        <v>#DIV/0!</v>
      </c>
      <c r="E53" s="247" t="e">
        <f>Impressões!D11/Impressões!E11</f>
        <v>#DIV/0!</v>
      </c>
    </row>
    <row r="54" spans="1:5" s="141" customFormat="1">
      <c r="A54" s="582"/>
      <c r="B54" s="586" t="s">
        <v>14</v>
      </c>
      <c r="C54" s="586"/>
      <c r="D54" s="246" t="e">
        <f>Impressões!B19/Impressões!C19</f>
        <v>#DIV/0!</v>
      </c>
      <c r="E54" s="248" t="e">
        <f>Impressões!D19/Impressões!E19</f>
        <v>#DIV/0!</v>
      </c>
    </row>
    <row r="55" spans="1:5" s="141" customFormat="1" ht="15.75" thickBot="1">
      <c r="A55" s="582"/>
      <c r="B55" s="593" t="s">
        <v>15</v>
      </c>
      <c r="C55" s="593"/>
      <c r="D55" s="249" t="e">
        <f>Impressões!B22/Impressões!C22</f>
        <v>#DIV/0!</v>
      </c>
      <c r="E55" s="250" t="e">
        <f>Impressões!D22/Impressões!E22</f>
        <v>#DIV/0!</v>
      </c>
    </row>
    <row r="56" spans="1:5">
      <c r="A56" s="568" t="s">
        <v>72</v>
      </c>
      <c r="B56" s="584" t="s">
        <v>237</v>
      </c>
      <c r="C56" s="584"/>
      <c r="D56" s="198" t="e">
        <f>D57+D58+D59</f>
        <v>#REF!</v>
      </c>
      <c r="E56" s="199">
        <f>E57+E58+E59</f>
        <v>2735</v>
      </c>
    </row>
    <row r="57" spans="1:5" s="141" customFormat="1">
      <c r="A57" s="569"/>
      <c r="B57" s="586" t="s">
        <v>6</v>
      </c>
      <c r="C57" s="586"/>
      <c r="D57" s="209" t="e">
        <f>Resíduos!#REF!</f>
        <v>#REF!</v>
      </c>
      <c r="E57" s="213">
        <f>Resíduos!O18</f>
        <v>2735</v>
      </c>
    </row>
    <row r="58" spans="1:5" s="141" customFormat="1">
      <c r="A58" s="569"/>
      <c r="B58" s="586" t="s">
        <v>14</v>
      </c>
      <c r="C58" s="586"/>
      <c r="D58" s="209" t="e">
        <f>Resíduos!#REF!</f>
        <v>#REF!</v>
      </c>
      <c r="E58" s="213">
        <f>Resíduos!O27</f>
        <v>0</v>
      </c>
    </row>
    <row r="59" spans="1:5" s="141" customFormat="1" ht="15.75" thickBot="1">
      <c r="A59" s="585"/>
      <c r="B59" s="589" t="s">
        <v>15</v>
      </c>
      <c r="C59" s="589"/>
      <c r="D59" s="210" t="e">
        <f>Resíduos!#REF!</f>
        <v>#REF!</v>
      </c>
      <c r="E59" s="214">
        <f>Resíduos!O36</f>
        <v>0</v>
      </c>
    </row>
    <row r="60" spans="1:5" ht="29.25" customHeight="1">
      <c r="A60" s="568" t="s">
        <v>73</v>
      </c>
      <c r="B60" s="584" t="s">
        <v>238</v>
      </c>
      <c r="C60" s="584"/>
      <c r="D60" s="198" t="e">
        <f>D61+D62+D63</f>
        <v>#REF!</v>
      </c>
      <c r="E60" s="199">
        <f>E61+E62+E63</f>
        <v>0</v>
      </c>
    </row>
    <row r="61" spans="1:5" s="141" customFormat="1">
      <c r="A61" s="569"/>
      <c r="B61" s="586" t="s">
        <v>6</v>
      </c>
      <c r="C61" s="586"/>
      <c r="D61" s="209" t="e">
        <f>Resíduos!#REF!</f>
        <v>#REF!</v>
      </c>
      <c r="E61" s="213">
        <f>Resíduos!O19</f>
        <v>0</v>
      </c>
    </row>
    <row r="62" spans="1:5" s="141" customFormat="1">
      <c r="A62" s="569"/>
      <c r="B62" s="586" t="s">
        <v>14</v>
      </c>
      <c r="C62" s="586"/>
      <c r="D62" s="209" t="e">
        <f>Resíduos!#REF!</f>
        <v>#REF!</v>
      </c>
      <c r="E62" s="213">
        <f>Resíduos!O28</f>
        <v>0</v>
      </c>
    </row>
    <row r="63" spans="1:5" s="141" customFormat="1" ht="15.75" thickBot="1">
      <c r="A63" s="585"/>
      <c r="B63" s="589" t="s">
        <v>15</v>
      </c>
      <c r="C63" s="589"/>
      <c r="D63" s="210" t="e">
        <f>Resíduos!#REF!</f>
        <v>#REF!</v>
      </c>
      <c r="E63" s="214">
        <f>Resíduos!O37</f>
        <v>0</v>
      </c>
    </row>
    <row r="64" spans="1:5">
      <c r="A64" s="568" t="s">
        <v>74</v>
      </c>
      <c r="B64" s="584" t="s">
        <v>239</v>
      </c>
      <c r="C64" s="584"/>
      <c r="D64" s="198" t="e">
        <f>D65+D66+D67</f>
        <v>#REF!</v>
      </c>
      <c r="E64" s="199">
        <f>E65+E66+E67</f>
        <v>0</v>
      </c>
    </row>
    <row r="65" spans="1:5" s="141" customFormat="1">
      <c r="A65" s="569"/>
      <c r="B65" s="586" t="s">
        <v>6</v>
      </c>
      <c r="C65" s="586"/>
      <c r="D65" s="209" t="e">
        <f>Resíduos!#REF!</f>
        <v>#REF!</v>
      </c>
      <c r="E65" s="213">
        <f>Resíduos!O20</f>
        <v>0</v>
      </c>
    </row>
    <row r="66" spans="1:5" s="141" customFormat="1">
      <c r="A66" s="569"/>
      <c r="B66" s="586" t="s">
        <v>14</v>
      </c>
      <c r="C66" s="586"/>
      <c r="D66" s="209" t="e">
        <f>Resíduos!#REF!</f>
        <v>#REF!</v>
      </c>
      <c r="E66" s="213">
        <f>Resíduos!O29</f>
        <v>0</v>
      </c>
    </row>
    <row r="67" spans="1:5" s="141" customFormat="1" ht="15.75" thickBot="1">
      <c r="A67" s="585"/>
      <c r="B67" s="589" t="s">
        <v>15</v>
      </c>
      <c r="C67" s="589"/>
      <c r="D67" s="210" t="e">
        <f>Resíduos!#REF!</f>
        <v>#REF!</v>
      </c>
      <c r="E67" s="214">
        <f>Resíduos!O38</f>
        <v>0</v>
      </c>
    </row>
    <row r="68" spans="1:5" ht="30.75" customHeight="1">
      <c r="A68" s="568" t="s">
        <v>75</v>
      </c>
      <c r="B68" s="584" t="s">
        <v>240</v>
      </c>
      <c r="C68" s="584"/>
      <c r="D68" s="198" t="e">
        <f>D69+D70+D71</f>
        <v>#REF!</v>
      </c>
      <c r="E68" s="199">
        <f>E69+E70+E71</f>
        <v>0</v>
      </c>
    </row>
    <row r="69" spans="1:5" s="141" customFormat="1">
      <c r="A69" s="569"/>
      <c r="B69" s="586" t="s">
        <v>6</v>
      </c>
      <c r="C69" s="586"/>
      <c r="D69" s="209" t="e">
        <f>Resíduos!#REF!</f>
        <v>#REF!</v>
      </c>
      <c r="E69" s="213">
        <f>Resíduos!O21</f>
        <v>0</v>
      </c>
    </row>
    <row r="70" spans="1:5" s="141" customFormat="1">
      <c r="A70" s="569"/>
      <c r="B70" s="586" t="s">
        <v>14</v>
      </c>
      <c r="C70" s="586"/>
      <c r="D70" s="209" t="e">
        <f>Resíduos!#REF!</f>
        <v>#REF!</v>
      </c>
      <c r="E70" s="213">
        <f>Resíduos!O30</f>
        <v>0</v>
      </c>
    </row>
    <row r="71" spans="1:5" s="141" customFormat="1" ht="15.75" thickBot="1">
      <c r="A71" s="585"/>
      <c r="B71" s="589" t="s">
        <v>15</v>
      </c>
      <c r="C71" s="589"/>
      <c r="D71" s="210" t="e">
        <f>Resíduos!#REF!</f>
        <v>#REF!</v>
      </c>
      <c r="E71" s="214">
        <f>Resíduos!O39</f>
        <v>0</v>
      </c>
    </row>
    <row r="72" spans="1:5" ht="30.75" customHeight="1">
      <c r="A72" s="568" t="s">
        <v>76</v>
      </c>
      <c r="B72" s="584" t="s">
        <v>241</v>
      </c>
      <c r="C72" s="584"/>
      <c r="D72" s="198" t="e">
        <f>D73+D74+D75</f>
        <v>#REF!</v>
      </c>
      <c r="E72" s="199">
        <f>E73+E74+E75</f>
        <v>0</v>
      </c>
    </row>
    <row r="73" spans="1:5" s="141" customFormat="1">
      <c r="A73" s="569"/>
      <c r="B73" s="586" t="s">
        <v>6</v>
      </c>
      <c r="C73" s="586"/>
      <c r="D73" s="209" t="e">
        <f>Resíduos!#REF!</f>
        <v>#REF!</v>
      </c>
      <c r="E73" s="213">
        <f>Resíduos!O22</f>
        <v>0</v>
      </c>
    </row>
    <row r="74" spans="1:5" s="141" customFormat="1">
      <c r="A74" s="569"/>
      <c r="B74" s="586" t="s">
        <v>14</v>
      </c>
      <c r="C74" s="586"/>
      <c r="D74" s="209" t="e">
        <f>Resíduos!#REF!</f>
        <v>#REF!</v>
      </c>
      <c r="E74" s="213">
        <f>Resíduos!O31</f>
        <v>0</v>
      </c>
    </row>
    <row r="75" spans="1:5" s="141" customFormat="1" ht="15.75" thickBot="1">
      <c r="A75" s="585"/>
      <c r="B75" s="589" t="s">
        <v>15</v>
      </c>
      <c r="C75" s="589"/>
      <c r="D75" s="210" t="e">
        <f>Resíduos!#REF!</f>
        <v>#REF!</v>
      </c>
      <c r="E75" s="214">
        <f>Resíduos!O40</f>
        <v>0</v>
      </c>
    </row>
    <row r="76" spans="1:5">
      <c r="A76" s="568" t="s">
        <v>77</v>
      </c>
      <c r="B76" s="584" t="s">
        <v>242</v>
      </c>
      <c r="C76" s="584"/>
      <c r="D76" s="198" t="e">
        <f>D77+D78+D79</f>
        <v>#REF!</v>
      </c>
      <c r="E76" s="199">
        <f>E77+E78+E79</f>
        <v>0</v>
      </c>
    </row>
    <row r="77" spans="1:5" s="141" customFormat="1">
      <c r="A77" s="569"/>
      <c r="B77" s="586" t="s">
        <v>6</v>
      </c>
      <c r="C77" s="586"/>
      <c r="D77" s="209" t="e">
        <f>Resíduos!#REF!</f>
        <v>#REF!</v>
      </c>
      <c r="E77" s="213">
        <f>Resíduos!O23</f>
        <v>0</v>
      </c>
    </row>
    <row r="78" spans="1:5" s="141" customFormat="1">
      <c r="A78" s="569"/>
      <c r="B78" s="586" t="s">
        <v>14</v>
      </c>
      <c r="C78" s="586"/>
      <c r="D78" s="209" t="e">
        <f>Resíduos!#REF!</f>
        <v>#REF!</v>
      </c>
      <c r="E78" s="213">
        <f>Resíduos!O32</f>
        <v>0</v>
      </c>
    </row>
    <row r="79" spans="1:5" s="141" customFormat="1" ht="15.75" thickBot="1">
      <c r="A79" s="585"/>
      <c r="B79" s="589" t="s">
        <v>15</v>
      </c>
      <c r="C79" s="589"/>
      <c r="D79" s="210" t="e">
        <f>Resíduos!#REF!</f>
        <v>#REF!</v>
      </c>
      <c r="E79" s="214">
        <f>Resíduos!O41</f>
        <v>0</v>
      </c>
    </row>
    <row r="80" spans="1:5">
      <c r="A80" s="568" t="s">
        <v>78</v>
      </c>
      <c r="B80" s="584" t="s">
        <v>243</v>
      </c>
      <c r="C80" s="584"/>
      <c r="D80" s="198" t="e">
        <f>D81+D82+D83</f>
        <v>#REF!</v>
      </c>
      <c r="E80" s="199">
        <f>E81+E82+E83</f>
        <v>0</v>
      </c>
    </row>
    <row r="81" spans="1:5" s="141" customFormat="1">
      <c r="A81" s="569"/>
      <c r="B81" s="586" t="s">
        <v>6</v>
      </c>
      <c r="C81" s="586"/>
      <c r="D81" s="209" t="e">
        <f>Resíduos!#REF!</f>
        <v>#REF!</v>
      </c>
      <c r="E81" s="213">
        <f>Resíduos!O24</f>
        <v>0</v>
      </c>
    </row>
    <row r="82" spans="1:5" s="141" customFormat="1">
      <c r="A82" s="569"/>
      <c r="B82" s="586" t="s">
        <v>14</v>
      </c>
      <c r="C82" s="586"/>
      <c r="D82" s="209" t="e">
        <f>Resíduos!#REF!</f>
        <v>#REF!</v>
      </c>
      <c r="E82" s="213">
        <f>Resíduos!O33</f>
        <v>0</v>
      </c>
    </row>
    <row r="83" spans="1:5" s="141" customFormat="1" ht="15.75" thickBot="1">
      <c r="A83" s="585"/>
      <c r="B83" s="589" t="s">
        <v>15</v>
      </c>
      <c r="C83" s="589"/>
      <c r="D83" s="210" t="e">
        <f>Resíduos!#REF!</f>
        <v>#REF!</v>
      </c>
      <c r="E83" s="214">
        <f>Resíduos!O42</f>
        <v>0</v>
      </c>
    </row>
    <row r="84" spans="1:5">
      <c r="A84" s="568" t="s">
        <v>79</v>
      </c>
      <c r="B84" s="584" t="s">
        <v>244</v>
      </c>
      <c r="C84" s="584"/>
      <c r="D84" s="198" t="e">
        <f>D85+D86+D87</f>
        <v>#REF!</v>
      </c>
      <c r="E84" s="199">
        <f>E85+E86+E87</f>
        <v>0</v>
      </c>
    </row>
    <row r="85" spans="1:5" s="141" customFormat="1">
      <c r="A85" s="569"/>
      <c r="B85" s="586" t="s">
        <v>6</v>
      </c>
      <c r="C85" s="586"/>
      <c r="D85" s="209" t="e">
        <f>Resíduos!#REF!</f>
        <v>#REF!</v>
      </c>
      <c r="E85" s="213">
        <f>Resíduos!O25</f>
        <v>0</v>
      </c>
    </row>
    <row r="86" spans="1:5" s="141" customFormat="1">
      <c r="A86" s="569"/>
      <c r="B86" s="586" t="s">
        <v>14</v>
      </c>
      <c r="C86" s="586"/>
      <c r="D86" s="209" t="e">
        <f>Resíduos!#REF!</f>
        <v>#REF!</v>
      </c>
      <c r="E86" s="213">
        <f>Resíduos!O34</f>
        <v>0</v>
      </c>
    </row>
    <row r="87" spans="1:5" s="141" customFormat="1" ht="15.75" thickBot="1">
      <c r="A87" s="585"/>
      <c r="B87" s="589" t="s">
        <v>15</v>
      </c>
      <c r="C87" s="589"/>
      <c r="D87" s="210" t="e">
        <f>Resíduos!#REF!</f>
        <v>#REF!</v>
      </c>
      <c r="E87" s="214">
        <f>Resíduos!O43</f>
        <v>0</v>
      </c>
    </row>
    <row r="88" spans="1:5" ht="30" customHeight="1">
      <c r="A88" s="568" t="s">
        <v>80</v>
      </c>
      <c r="B88" s="584" t="s">
        <v>245</v>
      </c>
      <c r="C88" s="584"/>
      <c r="D88" s="341" t="e">
        <f>D89+D90+D91</f>
        <v>#REF!</v>
      </c>
      <c r="E88" s="342">
        <f>E89+E90+E91</f>
        <v>11.370000000000001</v>
      </c>
    </row>
    <row r="89" spans="1:5" s="141" customFormat="1">
      <c r="A89" s="569"/>
      <c r="B89" s="586" t="s">
        <v>6</v>
      </c>
      <c r="C89" s="586"/>
      <c r="D89" s="339" t="e">
        <f>Resíduos!#REF!</f>
        <v>#REF!</v>
      </c>
      <c r="E89" s="340">
        <f>Resíduos!O26</f>
        <v>11.370000000000001</v>
      </c>
    </row>
    <row r="90" spans="1:5" s="141" customFormat="1">
      <c r="A90" s="569"/>
      <c r="B90" s="586" t="s">
        <v>14</v>
      </c>
      <c r="C90" s="586"/>
      <c r="D90" s="339" t="e">
        <f>Resíduos!#REF!</f>
        <v>#REF!</v>
      </c>
      <c r="E90" s="340">
        <f>Resíduos!O35</f>
        <v>0</v>
      </c>
    </row>
    <row r="91" spans="1:5" s="141" customFormat="1" ht="15.75" thickBot="1">
      <c r="A91" s="585"/>
      <c r="B91" s="589" t="s">
        <v>15</v>
      </c>
      <c r="C91" s="589"/>
      <c r="D91" s="343" t="e">
        <f>Resíduos!#REF!</f>
        <v>#REF!</v>
      </c>
      <c r="E91" s="344">
        <f>Resíduos!O44</f>
        <v>0</v>
      </c>
    </row>
    <row r="92" spans="1:5" ht="30" customHeight="1">
      <c r="A92" s="568" t="s">
        <v>93</v>
      </c>
      <c r="B92" s="584" t="s">
        <v>246</v>
      </c>
      <c r="C92" s="584"/>
      <c r="D92" s="341" t="e">
        <f>D93+D94+D95</f>
        <v>#REF!</v>
      </c>
      <c r="E92" s="342">
        <f>E93+E94+E95</f>
        <v>2746.37</v>
      </c>
    </row>
    <row r="93" spans="1:5" s="141" customFormat="1">
      <c r="A93" s="569"/>
      <c r="B93" s="586" t="s">
        <v>6</v>
      </c>
      <c r="C93" s="586"/>
      <c r="D93" s="339" t="e">
        <f>D57+D61+D65+D69+D73+D77+D81+D85+D89</f>
        <v>#REF!</v>
      </c>
      <c r="E93" s="340">
        <f>E57+E61+E65+E69+E73+E77+E81+E85+E89</f>
        <v>2746.37</v>
      </c>
    </row>
    <row r="94" spans="1:5" s="141" customFormat="1">
      <c r="A94" s="569"/>
      <c r="B94" s="586" t="s">
        <v>14</v>
      </c>
      <c r="C94" s="586"/>
      <c r="D94" s="339" t="e">
        <f>D58+D62+D66+D70+D74+D78+D82+D86+D90</f>
        <v>#REF!</v>
      </c>
      <c r="E94" s="340">
        <f>E58+E62+E66+E70+E74+E78+E82+E86+E90</f>
        <v>0</v>
      </c>
    </row>
    <row r="95" spans="1:5" s="141" customFormat="1" ht="15.75" thickBot="1">
      <c r="A95" s="585"/>
      <c r="B95" s="589" t="s">
        <v>15</v>
      </c>
      <c r="C95" s="589"/>
      <c r="D95" s="343"/>
      <c r="E95" s="344">
        <f>E59+E63+E67+E71+E75+E79+E83+E87+E91</f>
        <v>0</v>
      </c>
    </row>
  </sheetData>
  <mergeCells count="113">
    <mergeCell ref="A92:A95"/>
    <mergeCell ref="B92:C92"/>
    <mergeCell ref="B93:C93"/>
    <mergeCell ref="B94:C94"/>
    <mergeCell ref="B95:C95"/>
    <mergeCell ref="B1:D2"/>
    <mergeCell ref="B3:D4"/>
    <mergeCell ref="A84:A87"/>
    <mergeCell ref="B84:C84"/>
    <mergeCell ref="B85:C85"/>
    <mergeCell ref="B86:C86"/>
    <mergeCell ref="B87:C87"/>
    <mergeCell ref="A88:A91"/>
    <mergeCell ref="B88:C88"/>
    <mergeCell ref="B89:C89"/>
    <mergeCell ref="B90:C90"/>
    <mergeCell ref="B91:C91"/>
    <mergeCell ref="A76:A79"/>
    <mergeCell ref="B76:C76"/>
    <mergeCell ref="B77:C77"/>
    <mergeCell ref="B78:C78"/>
    <mergeCell ref="B79:C79"/>
    <mergeCell ref="A80:A83"/>
    <mergeCell ref="B80:C80"/>
    <mergeCell ref="B81:C81"/>
    <mergeCell ref="B82:C82"/>
    <mergeCell ref="B83:C83"/>
    <mergeCell ref="A68:A71"/>
    <mergeCell ref="B68:C68"/>
    <mergeCell ref="B69:C69"/>
    <mergeCell ref="B70:C70"/>
    <mergeCell ref="B71:C71"/>
    <mergeCell ref="A72:A75"/>
    <mergeCell ref="B72:C72"/>
    <mergeCell ref="B73:C73"/>
    <mergeCell ref="B74:C74"/>
    <mergeCell ref="B75:C75"/>
    <mergeCell ref="A60:A63"/>
    <mergeCell ref="B60:C60"/>
    <mergeCell ref="B61:C61"/>
    <mergeCell ref="B62:C62"/>
    <mergeCell ref="B63:C63"/>
    <mergeCell ref="A64:A67"/>
    <mergeCell ref="B64:C64"/>
    <mergeCell ref="B65:C65"/>
    <mergeCell ref="B66:C66"/>
    <mergeCell ref="B67:C67"/>
    <mergeCell ref="B54:C54"/>
    <mergeCell ref="B55:C55"/>
    <mergeCell ref="B52:C52"/>
    <mergeCell ref="A52:A55"/>
    <mergeCell ref="A56:A59"/>
    <mergeCell ref="B56:C56"/>
    <mergeCell ref="B57:C57"/>
    <mergeCell ref="B58:C58"/>
    <mergeCell ref="B59:C59"/>
    <mergeCell ref="B50:C50"/>
    <mergeCell ref="B51:C51"/>
    <mergeCell ref="B48:C48"/>
    <mergeCell ref="A48:A51"/>
    <mergeCell ref="B53:C53"/>
    <mergeCell ref="B46:C46"/>
    <mergeCell ref="B47:C47"/>
    <mergeCell ref="B44:C44"/>
    <mergeCell ref="A44:A47"/>
    <mergeCell ref="B45:C45"/>
    <mergeCell ref="A40:A43"/>
    <mergeCell ref="B40:C40"/>
    <mergeCell ref="B36:C36"/>
    <mergeCell ref="B32:C32"/>
    <mergeCell ref="B28:C28"/>
    <mergeCell ref="B41:C41"/>
    <mergeCell ref="B42:C42"/>
    <mergeCell ref="B43:C43"/>
    <mergeCell ref="B49:C49"/>
    <mergeCell ref="B39:C39"/>
    <mergeCell ref="B29:C29"/>
    <mergeCell ref="B30:C30"/>
    <mergeCell ref="B31:C31"/>
    <mergeCell ref="B33:C33"/>
    <mergeCell ref="B34:C34"/>
    <mergeCell ref="B35:C35"/>
    <mergeCell ref="B37:C37"/>
    <mergeCell ref="B38:C38"/>
    <mergeCell ref="A28:A31"/>
    <mergeCell ref="A32:A35"/>
    <mergeCell ref="A36:A39"/>
    <mergeCell ref="B21:C21"/>
    <mergeCell ref="B22:C22"/>
    <mergeCell ref="B23:C23"/>
    <mergeCell ref="B25:C25"/>
    <mergeCell ref="B26:C26"/>
    <mergeCell ref="B27:C27"/>
    <mergeCell ref="B24:C24"/>
    <mergeCell ref="A8:A11"/>
    <mergeCell ref="B12:C12"/>
    <mergeCell ref="A12:A15"/>
    <mergeCell ref="B16:C16"/>
    <mergeCell ref="A16:A19"/>
    <mergeCell ref="B20:C20"/>
    <mergeCell ref="A20:A23"/>
    <mergeCell ref="B13:C13"/>
    <mergeCell ref="B14:C14"/>
    <mergeCell ref="A24:A27"/>
    <mergeCell ref="B7:C7"/>
    <mergeCell ref="B15:C15"/>
    <mergeCell ref="B17:C17"/>
    <mergeCell ref="B18:C18"/>
    <mergeCell ref="B19:C19"/>
    <mergeCell ref="B9:C9"/>
    <mergeCell ref="B10:C10"/>
    <mergeCell ref="B11:C11"/>
    <mergeCell ref="B8:C8"/>
  </mergeCells>
  <pageMargins left="0.15748031496062992" right="0.15748031496062992" top="0.24" bottom="0.21" header="0.22" footer="0.21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03"/>
  <sheetViews>
    <sheetView workbookViewId="0">
      <selection activeCell="B207" sqref="B207:C207"/>
    </sheetView>
  </sheetViews>
  <sheetFormatPr defaultColWidth="9.140625" defaultRowHeight="15"/>
  <cols>
    <col min="1" max="1" width="25.7109375" style="164" customWidth="1"/>
    <col min="2" max="2" width="36.7109375" style="164" customWidth="1"/>
    <col min="3" max="3" width="15.7109375" style="164" customWidth="1"/>
    <col min="4" max="4" width="20.7109375" style="164" customWidth="1"/>
    <col min="5" max="16384" width="9.140625" style="164"/>
  </cols>
  <sheetData>
    <row r="1" spans="1:21" s="141" customFormat="1" ht="23.25">
      <c r="B1" s="511" t="s">
        <v>0</v>
      </c>
      <c r="C1" s="511"/>
      <c r="D1" s="511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s="141" customFormat="1" ht="23.25">
      <c r="B2" s="511"/>
      <c r="C2" s="511"/>
      <c r="D2" s="511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s="141" customFormat="1">
      <c r="B3" s="548" t="s">
        <v>278</v>
      </c>
      <c r="C3" s="548"/>
      <c r="D3" s="548"/>
      <c r="E3" s="252"/>
      <c r="F3" s="252"/>
      <c r="G3" s="252"/>
      <c r="H3" s="252"/>
      <c r="I3" s="252"/>
      <c r="J3" s="252"/>
      <c r="K3" s="252"/>
      <c r="L3" s="252"/>
      <c r="M3" s="144"/>
      <c r="N3" s="144"/>
      <c r="O3" s="144"/>
      <c r="P3" s="144"/>
      <c r="Q3" s="144"/>
      <c r="R3" s="144"/>
      <c r="S3" s="144"/>
      <c r="T3" s="144"/>
      <c r="U3" s="144"/>
    </row>
    <row r="4" spans="1:21" s="141" customFormat="1">
      <c r="B4" s="548"/>
      <c r="C4" s="548"/>
      <c r="D4" s="548"/>
      <c r="E4" s="252"/>
      <c r="F4" s="252"/>
      <c r="G4" s="252"/>
      <c r="H4" s="252"/>
      <c r="I4" s="252"/>
      <c r="J4" s="252"/>
      <c r="K4" s="252"/>
      <c r="L4" s="252"/>
      <c r="M4" s="144"/>
      <c r="N4" s="144"/>
      <c r="O4" s="144"/>
      <c r="P4" s="144"/>
      <c r="Q4" s="144"/>
      <c r="R4" s="144"/>
      <c r="S4" s="144"/>
      <c r="T4" s="144"/>
      <c r="U4" s="144"/>
    </row>
    <row r="5" spans="1:21" s="141" customFormat="1"/>
    <row r="6" spans="1:21" ht="15.75" thickBot="1"/>
    <row r="7" spans="1:21" ht="30.75" thickBot="1">
      <c r="A7" s="184" t="s">
        <v>253</v>
      </c>
      <c r="B7" s="611" t="s">
        <v>254</v>
      </c>
      <c r="C7" s="612"/>
      <c r="D7" s="157" t="s">
        <v>128</v>
      </c>
    </row>
    <row r="8" spans="1:21">
      <c r="A8" s="568" t="s">
        <v>2</v>
      </c>
      <c r="B8" s="584" t="s">
        <v>222</v>
      </c>
      <c r="C8" s="584"/>
      <c r="D8" s="183"/>
    </row>
    <row r="9" spans="1:21" s="141" customFormat="1">
      <c r="A9" s="569"/>
      <c r="B9" s="586" t="s">
        <v>6</v>
      </c>
      <c r="C9" s="586"/>
      <c r="D9" s="172"/>
    </row>
    <row r="10" spans="1:21" s="141" customFormat="1">
      <c r="A10" s="569"/>
      <c r="B10" s="610" t="s">
        <v>7</v>
      </c>
      <c r="C10" s="610"/>
      <c r="D10" s="180"/>
    </row>
    <row r="11" spans="1:21" s="141" customFormat="1">
      <c r="A11" s="569"/>
      <c r="B11" s="610" t="s">
        <v>8</v>
      </c>
      <c r="C11" s="610"/>
      <c r="D11" s="180"/>
    </row>
    <row r="12" spans="1:21" s="141" customFormat="1">
      <c r="A12" s="569"/>
      <c r="B12" s="610" t="s">
        <v>9</v>
      </c>
      <c r="C12" s="610"/>
      <c r="D12" s="180"/>
    </row>
    <row r="13" spans="1:21" s="141" customFormat="1">
      <c r="A13" s="569"/>
      <c r="B13" s="610" t="s">
        <v>10</v>
      </c>
      <c r="C13" s="610"/>
      <c r="D13" s="180"/>
    </row>
    <row r="14" spans="1:21" s="141" customFormat="1">
      <c r="A14" s="569"/>
      <c r="B14" s="610" t="s">
        <v>11</v>
      </c>
      <c r="C14" s="610"/>
      <c r="D14" s="180"/>
    </row>
    <row r="15" spans="1:21" s="141" customFormat="1">
      <c r="A15" s="569"/>
      <c r="B15" s="610" t="s">
        <v>12</v>
      </c>
      <c r="C15" s="610"/>
      <c r="D15" s="180"/>
    </row>
    <row r="16" spans="1:21" s="141" customFormat="1">
      <c r="A16" s="569"/>
      <c r="B16" s="610" t="s">
        <v>13</v>
      </c>
      <c r="C16" s="610"/>
      <c r="D16" s="180"/>
    </row>
    <row r="17" spans="1:4" s="141" customFormat="1">
      <c r="A17" s="569"/>
      <c r="B17" s="586" t="s">
        <v>14</v>
      </c>
      <c r="C17" s="586"/>
      <c r="D17" s="172"/>
    </row>
    <row r="18" spans="1:4" s="141" customFormat="1">
      <c r="A18" s="569"/>
      <c r="B18" s="610" t="s">
        <v>17</v>
      </c>
      <c r="C18" s="610"/>
      <c r="D18" s="180"/>
    </row>
    <row r="19" spans="1:4" s="141" customFormat="1">
      <c r="A19" s="569"/>
      <c r="B19" s="610" t="s">
        <v>18</v>
      </c>
      <c r="C19" s="610"/>
      <c r="D19" s="180"/>
    </row>
    <row r="20" spans="1:4" s="141" customFormat="1">
      <c r="A20" s="569"/>
      <c r="B20" s="586" t="s">
        <v>15</v>
      </c>
      <c r="C20" s="586"/>
      <c r="D20" s="172"/>
    </row>
    <row r="21" spans="1:4" s="141" customFormat="1">
      <c r="A21" s="569"/>
      <c r="B21" s="610" t="s">
        <v>17</v>
      </c>
      <c r="C21" s="610"/>
      <c r="D21" s="180"/>
    </row>
    <row r="22" spans="1:4" s="141" customFormat="1" ht="15.75" thickBot="1">
      <c r="A22" s="585"/>
      <c r="B22" s="613" t="s">
        <v>16</v>
      </c>
      <c r="C22" s="613"/>
      <c r="D22" s="181"/>
    </row>
    <row r="23" spans="1:4" s="143" customFormat="1">
      <c r="A23" s="568" t="s">
        <v>3</v>
      </c>
      <c r="B23" s="584" t="s">
        <v>223</v>
      </c>
      <c r="C23" s="584"/>
      <c r="D23" s="190"/>
    </row>
    <row r="24" spans="1:4" s="141" customFormat="1">
      <c r="A24" s="569"/>
      <c r="B24" s="586" t="s">
        <v>6</v>
      </c>
      <c r="C24" s="586"/>
      <c r="D24" s="177"/>
    </row>
    <row r="25" spans="1:4" s="141" customFormat="1">
      <c r="A25" s="569"/>
      <c r="B25" s="610" t="s">
        <v>7</v>
      </c>
      <c r="C25" s="610"/>
      <c r="D25" s="178"/>
    </row>
    <row r="26" spans="1:4" s="141" customFormat="1">
      <c r="A26" s="569"/>
      <c r="B26" s="610" t="s">
        <v>8</v>
      </c>
      <c r="C26" s="610"/>
      <c r="D26" s="178"/>
    </row>
    <row r="27" spans="1:4" s="141" customFormat="1">
      <c r="A27" s="569"/>
      <c r="B27" s="610" t="s">
        <v>9</v>
      </c>
      <c r="C27" s="610"/>
      <c r="D27" s="178"/>
    </row>
    <row r="28" spans="1:4" s="141" customFormat="1">
      <c r="A28" s="569"/>
      <c r="B28" s="610" t="s">
        <v>10</v>
      </c>
      <c r="C28" s="610"/>
      <c r="D28" s="178"/>
    </row>
    <row r="29" spans="1:4" s="141" customFormat="1">
      <c r="A29" s="569"/>
      <c r="B29" s="610" t="s">
        <v>11</v>
      </c>
      <c r="C29" s="610"/>
      <c r="D29" s="178"/>
    </row>
    <row r="30" spans="1:4" s="141" customFormat="1">
      <c r="A30" s="569"/>
      <c r="B30" s="610" t="s">
        <v>12</v>
      </c>
      <c r="C30" s="610"/>
      <c r="D30" s="178"/>
    </row>
    <row r="31" spans="1:4" s="141" customFormat="1">
      <c r="A31" s="569"/>
      <c r="B31" s="610" t="s">
        <v>13</v>
      </c>
      <c r="C31" s="610"/>
      <c r="D31" s="178"/>
    </row>
    <row r="32" spans="1:4" s="141" customFormat="1">
      <c r="A32" s="569"/>
      <c r="B32" s="586" t="s">
        <v>14</v>
      </c>
      <c r="C32" s="586"/>
      <c r="D32" s="177"/>
    </row>
    <row r="33" spans="1:4" s="141" customFormat="1">
      <c r="A33" s="569"/>
      <c r="B33" s="610" t="s">
        <v>17</v>
      </c>
      <c r="C33" s="610"/>
      <c r="D33" s="178"/>
    </row>
    <row r="34" spans="1:4" s="141" customFormat="1">
      <c r="A34" s="569"/>
      <c r="B34" s="610" t="s">
        <v>18</v>
      </c>
      <c r="C34" s="610"/>
      <c r="D34" s="178"/>
    </row>
    <row r="35" spans="1:4" s="141" customFormat="1">
      <c r="A35" s="569"/>
      <c r="B35" s="586" t="s">
        <v>15</v>
      </c>
      <c r="C35" s="586"/>
      <c r="D35" s="177"/>
    </row>
    <row r="36" spans="1:4" s="141" customFormat="1">
      <c r="A36" s="569"/>
      <c r="B36" s="610" t="s">
        <v>17</v>
      </c>
      <c r="C36" s="610"/>
      <c r="D36" s="178"/>
    </row>
    <row r="37" spans="1:4" s="141" customFormat="1" ht="15.75" thickBot="1">
      <c r="A37" s="585"/>
      <c r="B37" s="613" t="s">
        <v>16</v>
      </c>
      <c r="C37" s="613"/>
      <c r="D37" s="179"/>
    </row>
    <row r="38" spans="1:4" s="143" customFormat="1">
      <c r="A38" s="568" t="s">
        <v>19</v>
      </c>
      <c r="B38" s="584" t="s">
        <v>224</v>
      </c>
      <c r="C38" s="584"/>
      <c r="D38" s="183"/>
    </row>
    <row r="39" spans="1:4" s="141" customFormat="1">
      <c r="A39" s="569"/>
      <c r="B39" s="586" t="s">
        <v>6</v>
      </c>
      <c r="C39" s="586"/>
      <c r="D39" s="172"/>
    </row>
    <row r="40" spans="1:4" s="141" customFormat="1">
      <c r="A40" s="569"/>
      <c r="B40" s="610" t="s">
        <v>7</v>
      </c>
      <c r="C40" s="610"/>
      <c r="D40" s="180"/>
    </row>
    <row r="41" spans="1:4" s="141" customFormat="1">
      <c r="A41" s="569"/>
      <c r="B41" s="610" t="s">
        <v>8</v>
      </c>
      <c r="C41" s="610"/>
      <c r="D41" s="180"/>
    </row>
    <row r="42" spans="1:4" s="141" customFormat="1">
      <c r="A42" s="569"/>
      <c r="B42" s="610" t="s">
        <v>9</v>
      </c>
      <c r="C42" s="610"/>
      <c r="D42" s="180"/>
    </row>
    <row r="43" spans="1:4" s="141" customFormat="1">
      <c r="A43" s="569"/>
      <c r="B43" s="610" t="s">
        <v>10</v>
      </c>
      <c r="C43" s="610"/>
      <c r="D43" s="180"/>
    </row>
    <row r="44" spans="1:4" s="141" customFormat="1">
      <c r="A44" s="569"/>
      <c r="B44" s="610" t="s">
        <v>11</v>
      </c>
      <c r="C44" s="610"/>
      <c r="D44" s="180"/>
    </row>
    <row r="45" spans="1:4" s="141" customFormat="1">
      <c r="A45" s="569"/>
      <c r="B45" s="610" t="s">
        <v>12</v>
      </c>
      <c r="C45" s="610"/>
      <c r="D45" s="180"/>
    </row>
    <row r="46" spans="1:4" s="141" customFormat="1">
      <c r="A46" s="569"/>
      <c r="B46" s="610" t="s">
        <v>13</v>
      </c>
      <c r="C46" s="610"/>
      <c r="D46" s="180"/>
    </row>
    <row r="47" spans="1:4" s="141" customFormat="1">
      <c r="A47" s="569"/>
      <c r="B47" s="586" t="s">
        <v>14</v>
      </c>
      <c r="C47" s="586"/>
      <c r="D47" s="172"/>
    </row>
    <row r="48" spans="1:4" s="141" customFormat="1">
      <c r="A48" s="569"/>
      <c r="B48" s="610" t="s">
        <v>17</v>
      </c>
      <c r="C48" s="610"/>
      <c r="D48" s="180"/>
    </row>
    <row r="49" spans="1:4" s="141" customFormat="1">
      <c r="A49" s="569"/>
      <c r="B49" s="610" t="s">
        <v>18</v>
      </c>
      <c r="C49" s="610"/>
      <c r="D49" s="180"/>
    </row>
    <row r="50" spans="1:4" s="141" customFormat="1">
      <c r="A50" s="569"/>
      <c r="B50" s="586" t="s">
        <v>15</v>
      </c>
      <c r="C50" s="586"/>
      <c r="D50" s="172"/>
    </row>
    <row r="51" spans="1:4" s="141" customFormat="1">
      <c r="A51" s="569"/>
      <c r="B51" s="610" t="s">
        <v>17</v>
      </c>
      <c r="C51" s="610"/>
      <c r="D51" s="180"/>
    </row>
    <row r="52" spans="1:4" s="141" customFormat="1" ht="15.75" thickBot="1">
      <c r="A52" s="585"/>
      <c r="B52" s="613" t="s">
        <v>16</v>
      </c>
      <c r="C52" s="613"/>
      <c r="D52" s="181"/>
    </row>
    <row r="53" spans="1:4">
      <c r="A53" s="568" t="s">
        <v>20</v>
      </c>
      <c r="B53" s="584" t="s">
        <v>225</v>
      </c>
      <c r="C53" s="584"/>
      <c r="D53" s="176"/>
    </row>
    <row r="54" spans="1:4" s="141" customFormat="1">
      <c r="A54" s="569"/>
      <c r="B54" s="586" t="s">
        <v>6</v>
      </c>
      <c r="C54" s="586"/>
      <c r="D54" s="177"/>
    </row>
    <row r="55" spans="1:4" s="141" customFormat="1">
      <c r="A55" s="569"/>
      <c r="B55" s="610" t="s">
        <v>7</v>
      </c>
      <c r="C55" s="610"/>
      <c r="D55" s="178"/>
    </row>
    <row r="56" spans="1:4" s="141" customFormat="1">
      <c r="A56" s="569"/>
      <c r="B56" s="610" t="s">
        <v>8</v>
      </c>
      <c r="C56" s="610"/>
      <c r="D56" s="178"/>
    </row>
    <row r="57" spans="1:4" s="141" customFormat="1">
      <c r="A57" s="569"/>
      <c r="B57" s="610" t="s">
        <v>9</v>
      </c>
      <c r="C57" s="610"/>
      <c r="D57" s="178"/>
    </row>
    <row r="58" spans="1:4" s="141" customFormat="1">
      <c r="A58" s="569"/>
      <c r="B58" s="610" t="s">
        <v>10</v>
      </c>
      <c r="C58" s="610"/>
      <c r="D58" s="178"/>
    </row>
    <row r="59" spans="1:4" s="141" customFormat="1">
      <c r="A59" s="569"/>
      <c r="B59" s="610" t="s">
        <v>11</v>
      </c>
      <c r="C59" s="610"/>
      <c r="D59" s="178"/>
    </row>
    <row r="60" spans="1:4" s="141" customFormat="1">
      <c r="A60" s="569"/>
      <c r="B60" s="610" t="s">
        <v>12</v>
      </c>
      <c r="C60" s="610"/>
      <c r="D60" s="178"/>
    </row>
    <row r="61" spans="1:4" s="141" customFormat="1">
      <c r="A61" s="569"/>
      <c r="B61" s="610" t="s">
        <v>13</v>
      </c>
      <c r="C61" s="610"/>
      <c r="D61" s="178"/>
    </row>
    <row r="62" spans="1:4" s="141" customFormat="1">
      <c r="A62" s="569"/>
      <c r="B62" s="586" t="s">
        <v>14</v>
      </c>
      <c r="C62" s="586"/>
      <c r="D62" s="177"/>
    </row>
    <row r="63" spans="1:4" s="141" customFormat="1">
      <c r="A63" s="569"/>
      <c r="B63" s="610" t="s">
        <v>17</v>
      </c>
      <c r="C63" s="610"/>
      <c r="D63" s="178"/>
    </row>
    <row r="64" spans="1:4" s="141" customFormat="1">
      <c r="A64" s="569"/>
      <c r="B64" s="610" t="s">
        <v>18</v>
      </c>
      <c r="C64" s="610"/>
      <c r="D64" s="178"/>
    </row>
    <row r="65" spans="1:4" s="141" customFormat="1">
      <c r="A65" s="569"/>
      <c r="B65" s="586" t="s">
        <v>15</v>
      </c>
      <c r="C65" s="586"/>
      <c r="D65" s="177"/>
    </row>
    <row r="66" spans="1:4" s="141" customFormat="1">
      <c r="A66" s="569"/>
      <c r="B66" s="610" t="s">
        <v>17</v>
      </c>
      <c r="C66" s="610"/>
      <c r="D66" s="178"/>
    </row>
    <row r="67" spans="1:4" s="141" customFormat="1" ht="15.75" thickBot="1">
      <c r="A67" s="585"/>
      <c r="B67" s="613" t="s">
        <v>16</v>
      </c>
      <c r="C67" s="613"/>
      <c r="D67" s="179"/>
    </row>
    <row r="68" spans="1:4" s="143" customFormat="1">
      <c r="A68" s="568" t="s">
        <v>21</v>
      </c>
      <c r="B68" s="584" t="s">
        <v>226</v>
      </c>
      <c r="C68" s="584"/>
      <c r="D68" s="183"/>
    </row>
    <row r="69" spans="1:4" s="141" customFormat="1">
      <c r="A69" s="569"/>
      <c r="B69" s="586" t="s">
        <v>6</v>
      </c>
      <c r="C69" s="586"/>
      <c r="D69" s="172"/>
    </row>
    <row r="70" spans="1:4" s="141" customFormat="1">
      <c r="A70" s="569"/>
      <c r="B70" s="610" t="s">
        <v>7</v>
      </c>
      <c r="C70" s="610"/>
      <c r="D70" s="173"/>
    </row>
    <row r="71" spans="1:4" s="141" customFormat="1">
      <c r="A71" s="569"/>
      <c r="B71" s="610" t="s">
        <v>8</v>
      </c>
      <c r="C71" s="610"/>
      <c r="D71" s="173"/>
    </row>
    <row r="72" spans="1:4" s="141" customFormat="1">
      <c r="A72" s="569"/>
      <c r="B72" s="610" t="s">
        <v>9</v>
      </c>
      <c r="C72" s="610"/>
      <c r="D72" s="173"/>
    </row>
    <row r="73" spans="1:4" s="141" customFormat="1">
      <c r="A73" s="569"/>
      <c r="B73" s="610" t="s">
        <v>10</v>
      </c>
      <c r="C73" s="610"/>
      <c r="D73" s="173"/>
    </row>
    <row r="74" spans="1:4" s="141" customFormat="1">
      <c r="A74" s="569"/>
      <c r="B74" s="610" t="s">
        <v>11</v>
      </c>
      <c r="C74" s="610"/>
      <c r="D74" s="173"/>
    </row>
    <row r="75" spans="1:4" s="141" customFormat="1">
      <c r="A75" s="569"/>
      <c r="B75" s="610" t="s">
        <v>12</v>
      </c>
      <c r="C75" s="610"/>
      <c r="D75" s="173"/>
    </row>
    <row r="76" spans="1:4" s="141" customFormat="1">
      <c r="A76" s="569"/>
      <c r="B76" s="610" t="s">
        <v>13</v>
      </c>
      <c r="C76" s="610"/>
      <c r="D76" s="173"/>
    </row>
    <row r="77" spans="1:4" s="141" customFormat="1">
      <c r="A77" s="569"/>
      <c r="B77" s="586" t="s">
        <v>14</v>
      </c>
      <c r="C77" s="586"/>
      <c r="D77" s="172"/>
    </row>
    <row r="78" spans="1:4" s="141" customFormat="1">
      <c r="A78" s="569"/>
      <c r="B78" s="610" t="s">
        <v>17</v>
      </c>
      <c r="C78" s="610"/>
      <c r="D78" s="173"/>
    </row>
    <row r="79" spans="1:4" s="141" customFormat="1">
      <c r="A79" s="569"/>
      <c r="B79" s="610" t="s">
        <v>18</v>
      </c>
      <c r="C79" s="610"/>
      <c r="D79" s="173"/>
    </row>
    <row r="80" spans="1:4" s="141" customFormat="1">
      <c r="A80" s="569"/>
      <c r="B80" s="586" t="s">
        <v>15</v>
      </c>
      <c r="C80" s="586"/>
      <c r="D80" s="172"/>
    </row>
    <row r="81" spans="1:4" s="141" customFormat="1">
      <c r="A81" s="569"/>
      <c r="B81" s="610" t="s">
        <v>17</v>
      </c>
      <c r="C81" s="610"/>
      <c r="D81" s="173"/>
    </row>
    <row r="82" spans="1:4" s="141" customFormat="1" ht="15.75" thickBot="1">
      <c r="A82" s="585"/>
      <c r="B82" s="613" t="s">
        <v>16</v>
      </c>
      <c r="C82" s="613"/>
      <c r="D82" s="174"/>
    </row>
    <row r="83" spans="1:4" ht="30" customHeight="1">
      <c r="A83" s="604" t="s">
        <v>27</v>
      </c>
      <c r="B83" s="584" t="s">
        <v>262</v>
      </c>
      <c r="C83" s="584"/>
      <c r="D83" s="183"/>
    </row>
    <row r="84" spans="1:4" s="141" customFormat="1">
      <c r="A84" s="605"/>
      <c r="B84" s="586" t="s">
        <v>6</v>
      </c>
      <c r="C84" s="586"/>
      <c r="D84" s="211"/>
    </row>
    <row r="85" spans="1:4" s="141" customFormat="1">
      <c r="A85" s="605"/>
      <c r="B85" s="586" t="s">
        <v>14</v>
      </c>
      <c r="C85" s="586"/>
      <c r="D85" s="211"/>
    </row>
    <row r="86" spans="1:4" s="141" customFormat="1" ht="15.75" thickBot="1">
      <c r="A86" s="614"/>
      <c r="B86" s="589" t="s">
        <v>15</v>
      </c>
      <c r="C86" s="589"/>
      <c r="D86" s="212"/>
    </row>
    <row r="87" spans="1:4" ht="30" customHeight="1">
      <c r="A87" s="568" t="s">
        <v>28</v>
      </c>
      <c r="B87" s="584" t="s">
        <v>263</v>
      </c>
      <c r="C87" s="584"/>
      <c r="D87" s="239"/>
    </row>
    <row r="88" spans="1:4" s="141" customFormat="1">
      <c r="A88" s="569"/>
      <c r="B88" s="586" t="s">
        <v>6</v>
      </c>
      <c r="C88" s="586"/>
      <c r="D88" s="211"/>
    </row>
    <row r="89" spans="1:4" s="141" customFormat="1">
      <c r="A89" s="569"/>
      <c r="B89" s="586" t="s">
        <v>14</v>
      </c>
      <c r="C89" s="586"/>
      <c r="D89" s="211"/>
    </row>
    <row r="90" spans="1:4" s="141" customFormat="1" ht="15.75" thickBot="1">
      <c r="A90" s="585"/>
      <c r="B90" s="589" t="s">
        <v>15</v>
      </c>
      <c r="C90" s="589"/>
      <c r="D90" s="212"/>
    </row>
    <row r="91" spans="1:4" ht="30" customHeight="1">
      <c r="A91" s="568" t="s">
        <v>29</v>
      </c>
      <c r="B91" s="584" t="s">
        <v>264</v>
      </c>
      <c r="C91" s="584"/>
      <c r="D91" s="183"/>
    </row>
    <row r="92" spans="1:4" s="141" customFormat="1">
      <c r="A92" s="569"/>
      <c r="B92" s="586" t="s">
        <v>6</v>
      </c>
      <c r="C92" s="586"/>
      <c r="D92" s="211"/>
    </row>
    <row r="93" spans="1:4" s="141" customFormat="1">
      <c r="A93" s="569"/>
      <c r="B93" s="586" t="s">
        <v>14</v>
      </c>
      <c r="C93" s="586"/>
      <c r="D93" s="211"/>
    </row>
    <row r="94" spans="1:4" s="141" customFormat="1" ht="15.75" thickBot="1">
      <c r="A94" s="585"/>
      <c r="B94" s="589" t="s">
        <v>15</v>
      </c>
      <c r="C94" s="589"/>
      <c r="D94" s="212"/>
    </row>
    <row r="95" spans="1:4">
      <c r="A95" s="568" t="s">
        <v>30</v>
      </c>
      <c r="B95" s="584" t="s">
        <v>265</v>
      </c>
      <c r="C95" s="584"/>
      <c r="D95" s="239"/>
    </row>
    <row r="96" spans="1:4" s="141" customFormat="1">
      <c r="A96" s="569"/>
      <c r="B96" s="586" t="s">
        <v>6</v>
      </c>
      <c r="C96" s="586"/>
      <c r="D96" s="211"/>
    </row>
    <row r="97" spans="1:4" s="141" customFormat="1">
      <c r="A97" s="569"/>
      <c r="B97" s="586" t="s">
        <v>14</v>
      </c>
      <c r="C97" s="586"/>
      <c r="D97" s="211"/>
    </row>
    <row r="98" spans="1:4" s="141" customFormat="1" ht="15.75" thickBot="1">
      <c r="A98" s="585"/>
      <c r="B98" s="589" t="s">
        <v>15</v>
      </c>
      <c r="C98" s="589"/>
      <c r="D98" s="212"/>
    </row>
    <row r="99" spans="1:4" ht="30" customHeight="1">
      <c r="A99" s="568" t="s">
        <v>31</v>
      </c>
      <c r="B99" s="584" t="s">
        <v>266</v>
      </c>
      <c r="C99" s="584"/>
      <c r="D99" s="199"/>
    </row>
    <row r="100" spans="1:4" s="141" customFormat="1">
      <c r="A100" s="569"/>
      <c r="B100" s="586" t="s">
        <v>6</v>
      </c>
      <c r="C100" s="586"/>
      <c r="D100" s="211"/>
    </row>
    <row r="101" spans="1:4" s="141" customFormat="1">
      <c r="A101" s="569"/>
      <c r="B101" s="586" t="s">
        <v>14</v>
      </c>
      <c r="C101" s="586"/>
      <c r="D101" s="211"/>
    </row>
    <row r="102" spans="1:4" s="141" customFormat="1" ht="15.75" thickBot="1">
      <c r="A102" s="585"/>
      <c r="B102" s="589" t="s">
        <v>15</v>
      </c>
      <c r="C102" s="589"/>
      <c r="D102" s="212"/>
    </row>
    <row r="103" spans="1:4" ht="30.75" customHeight="1">
      <c r="A103" s="568" t="s">
        <v>35</v>
      </c>
      <c r="B103" s="584" t="s">
        <v>267</v>
      </c>
      <c r="C103" s="584"/>
      <c r="D103" s="199"/>
    </row>
    <row r="104" spans="1:4" s="141" customFormat="1">
      <c r="A104" s="569"/>
      <c r="B104" s="586" t="s">
        <v>6</v>
      </c>
      <c r="C104" s="586"/>
      <c r="D104" s="211"/>
    </row>
    <row r="105" spans="1:4" s="141" customFormat="1">
      <c r="A105" s="569"/>
      <c r="B105" s="586" t="s">
        <v>14</v>
      </c>
      <c r="C105" s="586"/>
      <c r="D105" s="211"/>
    </row>
    <row r="106" spans="1:4" s="141" customFormat="1" ht="15.75" thickBot="1">
      <c r="A106" s="585"/>
      <c r="B106" s="589" t="s">
        <v>15</v>
      </c>
      <c r="C106" s="589"/>
      <c r="D106" s="212"/>
    </row>
    <row r="107" spans="1:4">
      <c r="A107" s="568" t="s">
        <v>36</v>
      </c>
      <c r="B107" s="584" t="s">
        <v>268</v>
      </c>
      <c r="C107" s="584"/>
      <c r="D107" s="199"/>
    </row>
    <row r="108" spans="1:4" s="141" customFormat="1">
      <c r="A108" s="569"/>
      <c r="B108" s="586" t="s">
        <v>6</v>
      </c>
      <c r="C108" s="586"/>
      <c r="D108" s="211"/>
    </row>
    <row r="109" spans="1:4" s="141" customFormat="1">
      <c r="A109" s="569"/>
      <c r="B109" s="586" t="s">
        <v>14</v>
      </c>
      <c r="C109" s="586"/>
      <c r="D109" s="211"/>
    </row>
    <row r="110" spans="1:4" s="141" customFormat="1" ht="15.75" thickBot="1">
      <c r="A110" s="585"/>
      <c r="B110" s="589" t="s">
        <v>15</v>
      </c>
      <c r="C110" s="589"/>
      <c r="D110" s="212"/>
    </row>
    <row r="111" spans="1:4" ht="30" customHeight="1">
      <c r="A111" s="568" t="s">
        <v>165</v>
      </c>
      <c r="B111" s="584" t="s">
        <v>269</v>
      </c>
      <c r="C111" s="584"/>
      <c r="D111" s="199"/>
    </row>
    <row r="112" spans="1:4" s="141" customFormat="1">
      <c r="A112" s="569"/>
      <c r="B112" s="586" t="s">
        <v>6</v>
      </c>
      <c r="C112" s="586"/>
      <c r="D112" s="211"/>
    </row>
    <row r="113" spans="1:4" s="141" customFormat="1">
      <c r="A113" s="569"/>
      <c r="B113" s="586" t="s">
        <v>14</v>
      </c>
      <c r="C113" s="586"/>
      <c r="D113" s="211"/>
    </row>
    <row r="114" spans="1:4" s="141" customFormat="1" ht="15.75" thickBot="1">
      <c r="A114" s="585"/>
      <c r="B114" s="589" t="s">
        <v>15</v>
      </c>
      <c r="C114" s="589"/>
      <c r="D114" s="212"/>
    </row>
    <row r="115" spans="1:4">
      <c r="A115" s="568" t="s">
        <v>38</v>
      </c>
      <c r="B115" s="584" t="s">
        <v>270</v>
      </c>
      <c r="C115" s="584"/>
      <c r="D115" s="199"/>
    </row>
    <row r="116" spans="1:4" s="141" customFormat="1">
      <c r="A116" s="569"/>
      <c r="B116" s="586" t="s">
        <v>6</v>
      </c>
      <c r="C116" s="586"/>
      <c r="D116" s="211"/>
    </row>
    <row r="117" spans="1:4" s="141" customFormat="1">
      <c r="A117" s="569"/>
      <c r="B117" s="586" t="s">
        <v>14</v>
      </c>
      <c r="C117" s="586"/>
      <c r="D117" s="211"/>
    </row>
    <row r="118" spans="1:4" s="141" customFormat="1" ht="15.75" thickBot="1">
      <c r="A118" s="585"/>
      <c r="B118" s="589" t="s">
        <v>15</v>
      </c>
      <c r="C118" s="589"/>
      <c r="D118" s="212"/>
    </row>
    <row r="119" spans="1:4" ht="30.75" customHeight="1">
      <c r="A119" s="568" t="s">
        <v>42</v>
      </c>
      <c r="B119" s="584" t="s">
        <v>271</v>
      </c>
      <c r="C119" s="584"/>
      <c r="D119" s="183"/>
    </row>
    <row r="120" spans="1:4" s="141" customFormat="1">
      <c r="A120" s="569"/>
      <c r="B120" s="586" t="s">
        <v>6</v>
      </c>
      <c r="C120" s="586"/>
      <c r="D120" s="211"/>
    </row>
    <row r="121" spans="1:4" s="141" customFormat="1">
      <c r="A121" s="569"/>
      <c r="B121" s="586" t="s">
        <v>14</v>
      </c>
      <c r="C121" s="586"/>
      <c r="D121" s="211"/>
    </row>
    <row r="122" spans="1:4" s="141" customFormat="1" ht="15.75" thickBot="1">
      <c r="A122" s="585"/>
      <c r="B122" s="589" t="s">
        <v>15</v>
      </c>
      <c r="C122" s="589"/>
      <c r="D122" s="212"/>
    </row>
    <row r="123" spans="1:4" ht="30" customHeight="1">
      <c r="A123" s="568" t="s">
        <v>43</v>
      </c>
      <c r="B123" s="584" t="s">
        <v>272</v>
      </c>
      <c r="C123" s="584"/>
      <c r="D123" s="199"/>
    </row>
    <row r="124" spans="1:4" s="141" customFormat="1">
      <c r="A124" s="569"/>
      <c r="B124" s="586" t="s">
        <v>6</v>
      </c>
      <c r="C124" s="586"/>
      <c r="D124" s="211"/>
    </row>
    <row r="125" spans="1:4" s="141" customFormat="1">
      <c r="A125" s="569"/>
      <c r="B125" s="586" t="s">
        <v>14</v>
      </c>
      <c r="C125" s="586"/>
      <c r="D125" s="211"/>
    </row>
    <row r="126" spans="1:4" s="141" customFormat="1" ht="15.75" thickBot="1">
      <c r="A126" s="585"/>
      <c r="B126" s="589" t="s">
        <v>15</v>
      </c>
      <c r="C126" s="589"/>
      <c r="D126" s="212"/>
    </row>
    <row r="127" spans="1:4">
      <c r="A127" s="568" t="s">
        <v>49</v>
      </c>
      <c r="B127" s="584" t="s">
        <v>171</v>
      </c>
      <c r="C127" s="584"/>
      <c r="D127" s="183"/>
    </row>
    <row r="128" spans="1:4" s="141" customFormat="1">
      <c r="A128" s="569"/>
      <c r="B128" s="586" t="s">
        <v>6</v>
      </c>
      <c r="C128" s="586"/>
      <c r="D128" s="211"/>
    </row>
    <row r="129" spans="1:4" s="141" customFormat="1">
      <c r="A129" s="569"/>
      <c r="B129" s="586" t="s">
        <v>14</v>
      </c>
      <c r="C129" s="586"/>
      <c r="D129" s="211"/>
    </row>
    <row r="130" spans="1:4" s="141" customFormat="1" ht="15.75" thickBot="1">
      <c r="A130" s="585"/>
      <c r="B130" s="589" t="s">
        <v>15</v>
      </c>
      <c r="C130" s="589"/>
      <c r="D130" s="212"/>
    </row>
    <row r="131" spans="1:4" ht="30" customHeight="1">
      <c r="A131" s="568" t="s">
        <v>50</v>
      </c>
      <c r="B131" s="584" t="s">
        <v>172</v>
      </c>
      <c r="C131" s="584"/>
      <c r="D131" s="183"/>
    </row>
    <row r="132" spans="1:4" s="141" customFormat="1">
      <c r="A132" s="569"/>
      <c r="B132" s="586" t="s">
        <v>6</v>
      </c>
      <c r="C132" s="586"/>
      <c r="D132" s="211"/>
    </row>
    <row r="133" spans="1:4" s="141" customFormat="1">
      <c r="A133" s="569"/>
      <c r="B133" s="586" t="s">
        <v>14</v>
      </c>
      <c r="C133" s="586"/>
      <c r="D133" s="211"/>
    </row>
    <row r="134" spans="1:4" s="141" customFormat="1" ht="15.75" thickBot="1">
      <c r="A134" s="585"/>
      <c r="B134" s="589" t="s">
        <v>15</v>
      </c>
      <c r="C134" s="589"/>
      <c r="D134" s="212"/>
    </row>
    <row r="135" spans="1:4" ht="30" customHeight="1">
      <c r="A135" s="568" t="s">
        <v>51</v>
      </c>
      <c r="B135" s="584" t="s">
        <v>173</v>
      </c>
      <c r="C135" s="584"/>
      <c r="D135" s="183"/>
    </row>
    <row r="136" spans="1:4" s="141" customFormat="1">
      <c r="A136" s="569"/>
      <c r="B136" s="586" t="s">
        <v>6</v>
      </c>
      <c r="C136" s="586"/>
      <c r="D136" s="211"/>
    </row>
    <row r="137" spans="1:4" s="141" customFormat="1">
      <c r="A137" s="569"/>
      <c r="B137" s="586" t="s">
        <v>14</v>
      </c>
      <c r="C137" s="586"/>
      <c r="D137" s="211"/>
    </row>
    <row r="138" spans="1:4" s="141" customFormat="1" ht="15.75" thickBot="1">
      <c r="A138" s="585"/>
      <c r="B138" s="589" t="s">
        <v>15</v>
      </c>
      <c r="C138" s="589"/>
      <c r="D138" s="212"/>
    </row>
    <row r="139" spans="1:4" s="143" customFormat="1">
      <c r="A139" s="568" t="s">
        <v>55</v>
      </c>
      <c r="B139" s="584" t="s">
        <v>227</v>
      </c>
      <c r="C139" s="584"/>
      <c r="D139" s="199"/>
    </row>
    <row r="140" spans="1:4" s="141" customFormat="1">
      <c r="A140" s="569"/>
      <c r="B140" s="571" t="s">
        <v>255</v>
      </c>
      <c r="C140" s="185" t="s">
        <v>60</v>
      </c>
      <c r="D140" s="194"/>
    </row>
    <row r="141" spans="1:4" s="141" customFormat="1">
      <c r="A141" s="569"/>
      <c r="B141" s="572"/>
      <c r="C141" s="185" t="s">
        <v>61</v>
      </c>
      <c r="D141" s="194"/>
    </row>
    <row r="142" spans="1:4" s="141" customFormat="1">
      <c r="A142" s="569"/>
      <c r="B142" s="572"/>
      <c r="C142" s="185" t="s">
        <v>146</v>
      </c>
      <c r="D142" s="194"/>
    </row>
    <row r="143" spans="1:4" s="141" customFormat="1">
      <c r="A143" s="569"/>
      <c r="B143" s="571" t="s">
        <v>256</v>
      </c>
      <c r="C143" s="185" t="s">
        <v>60</v>
      </c>
      <c r="D143" s="194"/>
    </row>
    <row r="144" spans="1:4" s="141" customFormat="1">
      <c r="A144" s="569"/>
      <c r="B144" s="572"/>
      <c r="C144" s="185" t="s">
        <v>61</v>
      </c>
      <c r="D144" s="194"/>
    </row>
    <row r="145" spans="1:4" s="141" customFormat="1">
      <c r="A145" s="569"/>
      <c r="B145" s="572"/>
      <c r="C145" s="185" t="s">
        <v>146</v>
      </c>
      <c r="D145" s="194"/>
    </row>
    <row r="146" spans="1:4" s="141" customFormat="1">
      <c r="A146" s="569"/>
      <c r="B146" s="572" t="s">
        <v>14</v>
      </c>
      <c r="C146" s="185" t="s">
        <v>60</v>
      </c>
      <c r="D146" s="194"/>
    </row>
    <row r="147" spans="1:4" s="141" customFormat="1">
      <c r="A147" s="569"/>
      <c r="B147" s="572"/>
      <c r="C147" s="185" t="s">
        <v>61</v>
      </c>
      <c r="D147" s="194"/>
    </row>
    <row r="148" spans="1:4" s="141" customFormat="1">
      <c r="A148" s="569"/>
      <c r="B148" s="572"/>
      <c r="C148" s="185" t="s">
        <v>146</v>
      </c>
      <c r="D148" s="194"/>
    </row>
    <row r="149" spans="1:4" s="141" customFormat="1">
      <c r="A149" s="569"/>
      <c r="B149" s="572" t="s">
        <v>15</v>
      </c>
      <c r="C149" s="185" t="s">
        <v>60</v>
      </c>
      <c r="D149" s="194"/>
    </row>
    <row r="150" spans="1:4" s="141" customFormat="1">
      <c r="A150" s="569"/>
      <c r="B150" s="572"/>
      <c r="C150" s="185" t="s">
        <v>61</v>
      </c>
      <c r="D150" s="194"/>
    </row>
    <row r="151" spans="1:4" s="141" customFormat="1" ht="15.75" thickBot="1">
      <c r="A151" s="585"/>
      <c r="B151" s="550"/>
      <c r="C151" s="195" t="s">
        <v>146</v>
      </c>
      <c r="D151" s="197"/>
    </row>
    <row r="152" spans="1:4">
      <c r="A152" s="568" t="s">
        <v>56</v>
      </c>
      <c r="B152" s="584" t="s">
        <v>228</v>
      </c>
      <c r="C152" s="584"/>
      <c r="D152" s="200"/>
    </row>
    <row r="153" spans="1:4" s="141" customFormat="1">
      <c r="A153" s="569"/>
      <c r="B153" s="571" t="s">
        <v>255</v>
      </c>
      <c r="C153" s="185" t="s">
        <v>60</v>
      </c>
      <c r="D153" s="194"/>
    </row>
    <row r="154" spans="1:4" s="141" customFormat="1">
      <c r="A154" s="569"/>
      <c r="B154" s="572"/>
      <c r="C154" s="185" t="s">
        <v>61</v>
      </c>
      <c r="D154" s="194"/>
    </row>
    <row r="155" spans="1:4" s="141" customFormat="1">
      <c r="A155" s="569"/>
      <c r="B155" s="572"/>
      <c r="C155" s="185" t="s">
        <v>146</v>
      </c>
      <c r="D155" s="194"/>
    </row>
    <row r="156" spans="1:4" s="141" customFormat="1">
      <c r="A156" s="569"/>
      <c r="B156" s="571" t="s">
        <v>256</v>
      </c>
      <c r="C156" s="185" t="s">
        <v>60</v>
      </c>
      <c r="D156" s="194"/>
    </row>
    <row r="157" spans="1:4" s="141" customFormat="1">
      <c r="A157" s="569"/>
      <c r="B157" s="572"/>
      <c r="C157" s="185" t="s">
        <v>61</v>
      </c>
      <c r="D157" s="194"/>
    </row>
    <row r="158" spans="1:4" s="141" customFormat="1">
      <c r="A158" s="569"/>
      <c r="B158" s="572"/>
      <c r="C158" s="185" t="s">
        <v>146</v>
      </c>
      <c r="D158" s="194"/>
    </row>
    <row r="159" spans="1:4" s="141" customFormat="1">
      <c r="A159" s="569"/>
      <c r="B159" s="572" t="s">
        <v>14</v>
      </c>
      <c r="C159" s="185" t="s">
        <v>60</v>
      </c>
      <c r="D159" s="194"/>
    </row>
    <row r="160" spans="1:4" s="141" customFormat="1">
      <c r="A160" s="569"/>
      <c r="B160" s="572"/>
      <c r="C160" s="185" t="s">
        <v>61</v>
      </c>
      <c r="D160" s="194"/>
    </row>
    <row r="161" spans="1:4" s="141" customFormat="1">
      <c r="A161" s="569"/>
      <c r="B161" s="572"/>
      <c r="C161" s="185" t="s">
        <v>146</v>
      </c>
      <c r="D161" s="194"/>
    </row>
    <row r="162" spans="1:4" s="141" customFormat="1">
      <c r="A162" s="569"/>
      <c r="B162" s="572" t="s">
        <v>15</v>
      </c>
      <c r="C162" s="185" t="s">
        <v>60</v>
      </c>
      <c r="D162" s="194"/>
    </row>
    <row r="163" spans="1:4" s="141" customFormat="1">
      <c r="A163" s="569"/>
      <c r="B163" s="572"/>
      <c r="C163" s="185" t="s">
        <v>61</v>
      </c>
      <c r="D163" s="194"/>
    </row>
    <row r="164" spans="1:4" s="141" customFormat="1" ht="15.75" thickBot="1">
      <c r="A164" s="585"/>
      <c r="B164" s="550"/>
      <c r="C164" s="195" t="s">
        <v>146</v>
      </c>
      <c r="D164" s="197"/>
    </row>
    <row r="165" spans="1:4" s="143" customFormat="1">
      <c r="A165" s="568" t="s">
        <v>58</v>
      </c>
      <c r="B165" s="584" t="s">
        <v>229</v>
      </c>
      <c r="C165" s="584"/>
      <c r="D165" s="199"/>
    </row>
    <row r="166" spans="1:4" s="141" customFormat="1">
      <c r="A166" s="569"/>
      <c r="B166" s="571" t="s">
        <v>255</v>
      </c>
      <c r="C166" s="185" t="s">
        <v>60</v>
      </c>
      <c r="D166" s="194"/>
    </row>
    <row r="167" spans="1:4" s="141" customFormat="1">
      <c r="A167" s="569"/>
      <c r="B167" s="572"/>
      <c r="C167" s="185" t="s">
        <v>61</v>
      </c>
      <c r="D167" s="194"/>
    </row>
    <row r="168" spans="1:4" s="141" customFormat="1">
      <c r="A168" s="569"/>
      <c r="B168" s="572"/>
      <c r="C168" s="185" t="s">
        <v>257</v>
      </c>
      <c r="D168" s="194"/>
    </row>
    <row r="169" spans="1:4" s="141" customFormat="1">
      <c r="A169" s="569"/>
      <c r="B169" s="571" t="s">
        <v>256</v>
      </c>
      <c r="C169" s="185" t="s">
        <v>60</v>
      </c>
      <c r="D169" s="194"/>
    </row>
    <row r="170" spans="1:4" s="141" customFormat="1">
      <c r="A170" s="569"/>
      <c r="B170" s="572"/>
      <c r="C170" s="185" t="s">
        <v>61</v>
      </c>
      <c r="D170" s="194"/>
    </row>
    <row r="171" spans="1:4" s="141" customFormat="1">
      <c r="A171" s="569"/>
      <c r="B171" s="572"/>
      <c r="C171" s="185" t="s">
        <v>257</v>
      </c>
      <c r="D171" s="194"/>
    </row>
    <row r="172" spans="1:4" s="141" customFormat="1">
      <c r="A172" s="569"/>
      <c r="B172" s="572" t="s">
        <v>14</v>
      </c>
      <c r="C172" s="185" t="s">
        <v>60</v>
      </c>
      <c r="D172" s="194"/>
    </row>
    <row r="173" spans="1:4" s="141" customFormat="1">
      <c r="A173" s="569"/>
      <c r="B173" s="572"/>
      <c r="C173" s="185" t="s">
        <v>61</v>
      </c>
      <c r="D173" s="194"/>
    </row>
    <row r="174" spans="1:4" s="141" customFormat="1">
      <c r="A174" s="569"/>
      <c r="B174" s="572"/>
      <c r="C174" s="185" t="s">
        <v>257</v>
      </c>
      <c r="D174" s="194"/>
    </row>
    <row r="175" spans="1:4" s="141" customFormat="1">
      <c r="A175" s="569"/>
      <c r="B175" s="572" t="s">
        <v>15</v>
      </c>
      <c r="C175" s="185" t="s">
        <v>60</v>
      </c>
      <c r="D175" s="194"/>
    </row>
    <row r="176" spans="1:4" s="141" customFormat="1">
      <c r="A176" s="569"/>
      <c r="B176" s="572"/>
      <c r="C176" s="185" t="s">
        <v>61</v>
      </c>
      <c r="D176" s="194"/>
    </row>
    <row r="177" spans="1:4" s="141" customFormat="1" ht="15.75" thickBot="1">
      <c r="A177" s="585"/>
      <c r="B177" s="550"/>
      <c r="C177" s="195" t="s">
        <v>257</v>
      </c>
      <c r="D177" s="197"/>
    </row>
    <row r="178" spans="1:4" s="143" customFormat="1">
      <c r="A178" s="568" t="s">
        <v>59</v>
      </c>
      <c r="B178" s="584" t="s">
        <v>230</v>
      </c>
      <c r="C178" s="584"/>
      <c r="D178" s="200"/>
    </row>
    <row r="179" spans="1:4" s="141" customFormat="1">
      <c r="A179" s="569"/>
      <c r="B179" s="571" t="s">
        <v>255</v>
      </c>
      <c r="C179" s="185" t="s">
        <v>60</v>
      </c>
      <c r="D179" s="194"/>
    </row>
    <row r="180" spans="1:4" s="141" customFormat="1">
      <c r="A180" s="569"/>
      <c r="B180" s="572"/>
      <c r="C180" s="185" t="s">
        <v>61</v>
      </c>
      <c r="D180" s="194"/>
    </row>
    <row r="181" spans="1:4" s="141" customFormat="1">
      <c r="A181" s="569"/>
      <c r="B181" s="572"/>
      <c r="C181" s="185" t="s">
        <v>257</v>
      </c>
      <c r="D181" s="194"/>
    </row>
    <row r="182" spans="1:4" s="141" customFormat="1">
      <c r="A182" s="569"/>
      <c r="B182" s="571" t="s">
        <v>256</v>
      </c>
      <c r="C182" s="185" t="s">
        <v>60</v>
      </c>
      <c r="D182" s="194"/>
    </row>
    <row r="183" spans="1:4" s="141" customFormat="1">
      <c r="A183" s="569"/>
      <c r="B183" s="572"/>
      <c r="C183" s="185" t="s">
        <v>61</v>
      </c>
      <c r="D183" s="194"/>
    </row>
    <row r="184" spans="1:4" s="141" customFormat="1">
      <c r="A184" s="569"/>
      <c r="B184" s="572"/>
      <c r="C184" s="185" t="s">
        <v>257</v>
      </c>
      <c r="D184" s="194"/>
    </row>
    <row r="185" spans="1:4" s="141" customFormat="1">
      <c r="A185" s="569"/>
      <c r="B185" s="572" t="s">
        <v>14</v>
      </c>
      <c r="C185" s="185" t="s">
        <v>60</v>
      </c>
      <c r="D185" s="194"/>
    </row>
    <row r="186" spans="1:4" s="141" customFormat="1">
      <c r="A186" s="569"/>
      <c r="B186" s="572"/>
      <c r="C186" s="185" t="s">
        <v>61</v>
      </c>
      <c r="D186" s="194"/>
    </row>
    <row r="187" spans="1:4" s="141" customFormat="1">
      <c r="A187" s="569"/>
      <c r="B187" s="572"/>
      <c r="C187" s="185" t="s">
        <v>257</v>
      </c>
      <c r="D187" s="194"/>
    </row>
    <row r="188" spans="1:4" s="141" customFormat="1">
      <c r="A188" s="569"/>
      <c r="B188" s="572" t="s">
        <v>15</v>
      </c>
      <c r="C188" s="185" t="s">
        <v>60</v>
      </c>
      <c r="D188" s="194"/>
    </row>
    <row r="189" spans="1:4" s="141" customFormat="1">
      <c r="A189" s="569"/>
      <c r="B189" s="572"/>
      <c r="C189" s="185" t="s">
        <v>61</v>
      </c>
      <c r="D189" s="194"/>
    </row>
    <row r="190" spans="1:4" s="141" customFormat="1" ht="15.75" thickBot="1">
      <c r="A190" s="585"/>
      <c r="B190" s="550"/>
      <c r="C190" s="195" t="s">
        <v>257</v>
      </c>
      <c r="D190" s="197"/>
    </row>
    <row r="191" spans="1:4" s="143" customFormat="1">
      <c r="A191" s="568" t="s">
        <v>65</v>
      </c>
      <c r="B191" s="584" t="s">
        <v>233</v>
      </c>
      <c r="C191" s="584"/>
      <c r="D191" s="251"/>
    </row>
    <row r="192" spans="1:4" s="141" customFormat="1">
      <c r="A192" s="569"/>
      <c r="B192" s="586" t="s">
        <v>6</v>
      </c>
      <c r="C192" s="586"/>
      <c r="D192" s="211"/>
    </row>
    <row r="193" spans="1:4" s="141" customFormat="1">
      <c r="A193" s="569"/>
      <c r="B193" s="586" t="s">
        <v>14</v>
      </c>
      <c r="C193" s="586"/>
      <c r="D193" s="211"/>
    </row>
    <row r="194" spans="1:4" s="141" customFormat="1" ht="15.75" thickBot="1">
      <c r="A194" s="585"/>
      <c r="B194" s="589" t="s">
        <v>15</v>
      </c>
      <c r="C194" s="589"/>
      <c r="D194" s="212"/>
    </row>
    <row r="195" spans="1:4" s="143" customFormat="1">
      <c r="A195" s="568" t="s">
        <v>66</v>
      </c>
      <c r="B195" s="584" t="s">
        <v>234</v>
      </c>
      <c r="C195" s="584"/>
      <c r="D195" s="199"/>
    </row>
    <row r="196" spans="1:4" s="141" customFormat="1">
      <c r="A196" s="569"/>
      <c r="B196" s="586" t="s">
        <v>6</v>
      </c>
      <c r="C196" s="586"/>
      <c r="D196" s="213"/>
    </row>
    <row r="197" spans="1:4" s="141" customFormat="1">
      <c r="A197" s="569"/>
      <c r="B197" s="586" t="s">
        <v>14</v>
      </c>
      <c r="C197" s="586"/>
      <c r="D197" s="213"/>
    </row>
    <row r="198" spans="1:4" s="141" customFormat="1" ht="15.75" thickBot="1">
      <c r="A198" s="585"/>
      <c r="B198" s="589" t="s">
        <v>15</v>
      </c>
      <c r="C198" s="589"/>
      <c r="D198" s="214"/>
    </row>
    <row r="199" spans="1:4">
      <c r="A199" s="568" t="s">
        <v>67</v>
      </c>
      <c r="B199" s="584" t="s">
        <v>235</v>
      </c>
      <c r="C199" s="584"/>
      <c r="D199" s="190"/>
    </row>
    <row r="200" spans="1:4" s="141" customFormat="1">
      <c r="A200" s="569"/>
      <c r="B200" s="586" t="s">
        <v>6</v>
      </c>
      <c r="C200" s="586"/>
      <c r="D200" s="217"/>
    </row>
    <row r="201" spans="1:4" s="141" customFormat="1">
      <c r="A201" s="569"/>
      <c r="B201" s="586" t="s">
        <v>14</v>
      </c>
      <c r="C201" s="586"/>
      <c r="D201" s="217"/>
    </row>
    <row r="202" spans="1:4" s="141" customFormat="1" ht="15.75" thickBot="1">
      <c r="A202" s="585"/>
      <c r="B202" s="589" t="s">
        <v>15</v>
      </c>
      <c r="C202" s="589"/>
      <c r="D202" s="218"/>
    </row>
    <row r="203" spans="1:4">
      <c r="A203" s="568" t="s">
        <v>68</v>
      </c>
      <c r="B203" s="584" t="s">
        <v>236</v>
      </c>
      <c r="C203" s="584"/>
      <c r="D203" s="199"/>
    </row>
    <row r="204" spans="1:4" s="141" customFormat="1">
      <c r="A204" s="569"/>
      <c r="B204" s="586" t="s">
        <v>6</v>
      </c>
      <c r="C204" s="586"/>
      <c r="D204" s="213"/>
    </row>
    <row r="205" spans="1:4" s="141" customFormat="1">
      <c r="A205" s="569"/>
      <c r="B205" s="586" t="s">
        <v>14</v>
      </c>
      <c r="C205" s="586"/>
      <c r="D205" s="213"/>
    </row>
    <row r="206" spans="1:4" s="141" customFormat="1" ht="15.75" thickBot="1">
      <c r="A206" s="585"/>
      <c r="B206" s="589" t="s">
        <v>15</v>
      </c>
      <c r="C206" s="589"/>
      <c r="D206" s="214"/>
    </row>
    <row r="207" spans="1:4" ht="30" customHeight="1">
      <c r="A207" s="615" t="s">
        <v>91</v>
      </c>
      <c r="B207" s="584" t="s">
        <v>274</v>
      </c>
      <c r="C207" s="584"/>
      <c r="D207" s="199"/>
    </row>
    <row r="208" spans="1:4" s="141" customFormat="1">
      <c r="A208" s="569"/>
      <c r="B208" s="586" t="s">
        <v>6</v>
      </c>
      <c r="C208" s="586"/>
      <c r="D208" s="213"/>
    </row>
    <row r="209" spans="1:4" s="141" customFormat="1">
      <c r="A209" s="569"/>
      <c r="B209" s="586" t="s">
        <v>14</v>
      </c>
      <c r="C209" s="586"/>
      <c r="D209" s="213"/>
    </row>
    <row r="210" spans="1:4" s="141" customFormat="1" ht="15.75" thickBot="1">
      <c r="A210" s="585"/>
      <c r="B210" s="589" t="s">
        <v>15</v>
      </c>
      <c r="C210" s="589"/>
      <c r="D210" s="214"/>
    </row>
    <row r="211" spans="1:4" ht="29.25" customHeight="1">
      <c r="A211" s="615" t="s">
        <v>92</v>
      </c>
      <c r="B211" s="584" t="s">
        <v>275</v>
      </c>
      <c r="C211" s="584"/>
      <c r="D211" s="199"/>
    </row>
    <row r="212" spans="1:4" s="141" customFormat="1">
      <c r="A212" s="569"/>
      <c r="B212" s="586" t="s">
        <v>6</v>
      </c>
      <c r="C212" s="586"/>
      <c r="D212" s="213"/>
    </row>
    <row r="213" spans="1:4" s="141" customFormat="1">
      <c r="A213" s="569"/>
      <c r="B213" s="586" t="s">
        <v>14</v>
      </c>
      <c r="C213" s="586"/>
      <c r="D213" s="213"/>
    </row>
    <row r="214" spans="1:4" s="141" customFormat="1" ht="15.75" thickBot="1">
      <c r="A214" s="585"/>
      <c r="B214" s="589" t="s">
        <v>15</v>
      </c>
      <c r="C214" s="589"/>
      <c r="D214" s="214"/>
    </row>
    <row r="215" spans="1:4" ht="45" customHeight="1">
      <c r="A215" s="568" t="s">
        <v>96</v>
      </c>
      <c r="B215" s="584" t="s">
        <v>196</v>
      </c>
      <c r="C215" s="584"/>
      <c r="D215" s="183"/>
    </row>
    <row r="216" spans="1:4" s="141" customFormat="1">
      <c r="A216" s="569"/>
      <c r="B216" s="586" t="s">
        <v>6</v>
      </c>
      <c r="C216" s="586"/>
      <c r="D216" s="213"/>
    </row>
    <row r="217" spans="1:4" s="141" customFormat="1">
      <c r="A217" s="569"/>
      <c r="B217" s="586" t="s">
        <v>14</v>
      </c>
      <c r="C217" s="586"/>
      <c r="D217" s="213"/>
    </row>
    <row r="218" spans="1:4" s="141" customFormat="1" ht="15.75" thickBot="1">
      <c r="A218" s="585"/>
      <c r="B218" s="589" t="s">
        <v>15</v>
      </c>
      <c r="C218" s="589"/>
      <c r="D218" s="214"/>
    </row>
    <row r="219" spans="1:4" ht="30" customHeight="1">
      <c r="A219" s="568" t="s">
        <v>97</v>
      </c>
      <c r="B219" s="584" t="s">
        <v>197</v>
      </c>
      <c r="C219" s="584"/>
      <c r="D219" s="183"/>
    </row>
    <row r="220" spans="1:4" s="141" customFormat="1">
      <c r="A220" s="569"/>
      <c r="B220" s="586" t="s">
        <v>6</v>
      </c>
      <c r="C220" s="586"/>
      <c r="D220" s="213"/>
    </row>
    <row r="221" spans="1:4" s="141" customFormat="1">
      <c r="A221" s="569"/>
      <c r="B221" s="586" t="s">
        <v>14</v>
      </c>
      <c r="C221" s="586"/>
      <c r="D221" s="213"/>
    </row>
    <row r="222" spans="1:4" s="141" customFormat="1" ht="15.75" thickBot="1">
      <c r="A222" s="585"/>
      <c r="B222" s="589" t="s">
        <v>15</v>
      </c>
      <c r="C222" s="589"/>
      <c r="D222" s="214"/>
    </row>
    <row r="223" spans="1:4">
      <c r="A223" s="568" t="s">
        <v>98</v>
      </c>
      <c r="B223" s="584" t="s">
        <v>198</v>
      </c>
      <c r="C223" s="584"/>
      <c r="D223" s="183"/>
    </row>
    <row r="224" spans="1:4" s="141" customFormat="1">
      <c r="A224" s="569"/>
      <c r="B224" s="586" t="s">
        <v>6</v>
      </c>
      <c r="C224" s="586"/>
      <c r="D224" s="213"/>
    </row>
    <row r="225" spans="1:4" s="141" customFormat="1">
      <c r="A225" s="569"/>
      <c r="B225" s="586" t="s">
        <v>14</v>
      </c>
      <c r="C225" s="586"/>
      <c r="D225" s="213"/>
    </row>
    <row r="226" spans="1:4" s="141" customFormat="1" ht="15.75" thickBot="1">
      <c r="A226" s="585"/>
      <c r="B226" s="589" t="s">
        <v>15</v>
      </c>
      <c r="C226" s="589"/>
      <c r="D226" s="214"/>
    </row>
    <row r="227" spans="1:4" s="143" customFormat="1">
      <c r="A227" s="568" t="s">
        <v>104</v>
      </c>
      <c r="B227" s="584" t="s">
        <v>247</v>
      </c>
      <c r="C227" s="584"/>
      <c r="D227" s="224"/>
    </row>
    <row r="228" spans="1:4" s="141" customFormat="1">
      <c r="A228" s="569"/>
      <c r="B228" s="586" t="s">
        <v>6</v>
      </c>
      <c r="C228" s="586"/>
      <c r="D228" s="221"/>
    </row>
    <row r="229" spans="1:4" s="141" customFormat="1">
      <c r="A229" s="569"/>
      <c r="B229" s="586" t="s">
        <v>14</v>
      </c>
      <c r="C229" s="586"/>
      <c r="D229" s="221"/>
    </row>
    <row r="230" spans="1:4" s="141" customFormat="1" ht="15.75" thickBot="1">
      <c r="A230" s="585"/>
      <c r="B230" s="589" t="s">
        <v>15</v>
      </c>
      <c r="C230" s="589"/>
      <c r="D230" s="222"/>
    </row>
    <row r="231" spans="1:4" s="143" customFormat="1">
      <c r="A231" s="568" t="s">
        <v>105</v>
      </c>
      <c r="B231" s="584" t="s">
        <v>247</v>
      </c>
      <c r="C231" s="584"/>
      <c r="D231" s="225"/>
    </row>
    <row r="232" spans="1:4" s="141" customFormat="1">
      <c r="A232" s="569"/>
      <c r="B232" s="586" t="s">
        <v>6</v>
      </c>
      <c r="C232" s="586"/>
      <c r="D232" s="221"/>
    </row>
    <row r="233" spans="1:4" s="141" customFormat="1">
      <c r="A233" s="569"/>
      <c r="B233" s="586" t="s">
        <v>14</v>
      </c>
      <c r="C233" s="586"/>
      <c r="D233" s="221"/>
    </row>
    <row r="234" spans="1:4" s="141" customFormat="1" ht="15.75" thickBot="1">
      <c r="A234" s="585"/>
      <c r="B234" s="589" t="s">
        <v>15</v>
      </c>
      <c r="C234" s="589"/>
      <c r="D234" s="222"/>
    </row>
    <row r="235" spans="1:4" s="143" customFormat="1">
      <c r="A235" s="568" t="s">
        <v>106</v>
      </c>
      <c r="B235" s="584" t="s">
        <v>248</v>
      </c>
      <c r="C235" s="584"/>
      <c r="D235" s="226"/>
    </row>
    <row r="236" spans="1:4" s="141" customFormat="1">
      <c r="A236" s="569"/>
      <c r="B236" s="586" t="s">
        <v>6</v>
      </c>
      <c r="C236" s="586"/>
      <c r="D236" s="213"/>
    </row>
    <row r="237" spans="1:4" s="141" customFormat="1">
      <c r="A237" s="569"/>
      <c r="B237" s="586" t="s">
        <v>14</v>
      </c>
      <c r="C237" s="586"/>
      <c r="D237" s="213"/>
    </row>
    <row r="238" spans="1:4" s="141" customFormat="1" ht="15.75" thickBot="1">
      <c r="A238" s="585"/>
      <c r="B238" s="589" t="s">
        <v>15</v>
      </c>
      <c r="C238" s="589"/>
      <c r="D238" s="214"/>
    </row>
    <row r="239" spans="1:4" s="143" customFormat="1">
      <c r="A239" s="568" t="s">
        <v>107</v>
      </c>
      <c r="B239" s="584" t="s">
        <v>249</v>
      </c>
      <c r="C239" s="584"/>
      <c r="D239" s="226"/>
    </row>
    <row r="240" spans="1:4" s="141" customFormat="1">
      <c r="A240" s="569"/>
      <c r="B240" s="586" t="s">
        <v>6</v>
      </c>
      <c r="C240" s="586"/>
      <c r="D240" s="213"/>
    </row>
    <row r="241" spans="1:4" s="141" customFormat="1">
      <c r="A241" s="569"/>
      <c r="B241" s="586" t="s">
        <v>14</v>
      </c>
      <c r="C241" s="586"/>
      <c r="D241" s="213"/>
    </row>
    <row r="242" spans="1:4" s="141" customFormat="1" ht="15.75" thickBot="1">
      <c r="A242" s="585"/>
      <c r="B242" s="589" t="s">
        <v>15</v>
      </c>
      <c r="C242" s="589"/>
      <c r="D242" s="214"/>
    </row>
    <row r="243" spans="1:4" ht="30" customHeight="1">
      <c r="A243" s="568" t="s">
        <v>112</v>
      </c>
      <c r="B243" s="584" t="s">
        <v>202</v>
      </c>
      <c r="C243" s="584"/>
      <c r="D243" s="183"/>
    </row>
    <row r="244" spans="1:4" s="141" customFormat="1">
      <c r="A244" s="569"/>
      <c r="B244" s="586" t="s">
        <v>6</v>
      </c>
      <c r="C244" s="586"/>
      <c r="D244" s="213"/>
    </row>
    <row r="245" spans="1:4" s="141" customFormat="1">
      <c r="A245" s="569"/>
      <c r="B245" s="586" t="s">
        <v>14</v>
      </c>
      <c r="C245" s="586"/>
      <c r="D245" s="213"/>
    </row>
    <row r="246" spans="1:4" s="141" customFormat="1" ht="15.75" thickBot="1">
      <c r="A246" s="585"/>
      <c r="B246" s="589" t="s">
        <v>15</v>
      </c>
      <c r="C246" s="589"/>
      <c r="D246" s="214"/>
    </row>
    <row r="247" spans="1:4" ht="30" customHeight="1">
      <c r="A247" s="568" t="s">
        <v>113</v>
      </c>
      <c r="B247" s="584" t="s">
        <v>203</v>
      </c>
      <c r="C247" s="584"/>
      <c r="D247" s="183"/>
    </row>
    <row r="248" spans="1:4" s="141" customFormat="1">
      <c r="A248" s="569"/>
      <c r="B248" s="586" t="s">
        <v>6</v>
      </c>
      <c r="C248" s="586"/>
      <c r="D248" s="213"/>
    </row>
    <row r="249" spans="1:4" s="141" customFormat="1">
      <c r="A249" s="569"/>
      <c r="B249" s="586" t="s">
        <v>14</v>
      </c>
      <c r="C249" s="586"/>
      <c r="D249" s="213"/>
    </row>
    <row r="250" spans="1:4" s="141" customFormat="1" ht="15.75" thickBot="1">
      <c r="A250" s="585"/>
      <c r="B250" s="589" t="s">
        <v>15</v>
      </c>
      <c r="C250" s="589"/>
      <c r="D250" s="214"/>
    </row>
    <row r="251" spans="1:4">
      <c r="A251" s="568" t="s">
        <v>116</v>
      </c>
      <c r="B251" s="584" t="s">
        <v>204</v>
      </c>
      <c r="C251" s="584"/>
      <c r="D251" s="183"/>
    </row>
    <row r="252" spans="1:4" s="141" customFormat="1">
      <c r="A252" s="569"/>
      <c r="B252" s="586" t="s">
        <v>6</v>
      </c>
      <c r="C252" s="586"/>
      <c r="D252" s="213"/>
    </row>
    <row r="253" spans="1:4" s="141" customFormat="1">
      <c r="A253" s="569"/>
      <c r="B253" s="586" t="s">
        <v>14</v>
      </c>
      <c r="C253" s="586"/>
      <c r="D253" s="213"/>
    </row>
    <row r="254" spans="1:4" s="141" customFormat="1" ht="15.75" thickBot="1">
      <c r="A254" s="585"/>
      <c r="B254" s="589" t="s">
        <v>15</v>
      </c>
      <c r="C254" s="589"/>
      <c r="D254" s="214"/>
    </row>
    <row r="255" spans="1:4" ht="30" customHeight="1">
      <c r="A255" s="568" t="s">
        <v>117</v>
      </c>
      <c r="B255" s="584" t="s">
        <v>205</v>
      </c>
      <c r="C255" s="584"/>
      <c r="D255" s="183"/>
    </row>
    <row r="256" spans="1:4" s="141" customFormat="1">
      <c r="A256" s="569"/>
      <c r="B256" s="586" t="s">
        <v>6</v>
      </c>
      <c r="C256" s="586"/>
      <c r="D256" s="213"/>
    </row>
    <row r="257" spans="1:4" s="141" customFormat="1">
      <c r="A257" s="569"/>
      <c r="B257" s="586" t="s">
        <v>14</v>
      </c>
      <c r="C257" s="586"/>
      <c r="D257" s="213"/>
    </row>
    <row r="258" spans="1:4" s="141" customFormat="1" ht="15.75" thickBot="1">
      <c r="A258" s="585"/>
      <c r="B258" s="589" t="s">
        <v>15</v>
      </c>
      <c r="C258" s="589"/>
      <c r="D258" s="214"/>
    </row>
    <row r="259" spans="1:4">
      <c r="A259" s="568" t="s">
        <v>118</v>
      </c>
      <c r="B259" s="584" t="s">
        <v>206</v>
      </c>
      <c r="C259" s="584"/>
      <c r="D259" s="183"/>
    </row>
    <row r="260" spans="1:4" s="141" customFormat="1">
      <c r="A260" s="569"/>
      <c r="B260" s="586" t="s">
        <v>6</v>
      </c>
      <c r="C260" s="586"/>
      <c r="D260" s="213"/>
    </row>
    <row r="261" spans="1:4" s="141" customFormat="1">
      <c r="A261" s="569"/>
      <c r="B261" s="586" t="s">
        <v>14</v>
      </c>
      <c r="C261" s="586"/>
      <c r="D261" s="213"/>
    </row>
    <row r="262" spans="1:4" s="141" customFormat="1" ht="15.75" thickBot="1">
      <c r="A262" s="585"/>
      <c r="B262" s="589" t="s">
        <v>15</v>
      </c>
      <c r="C262" s="589"/>
      <c r="D262" s="214"/>
    </row>
    <row r="263" spans="1:4" ht="30" customHeight="1">
      <c r="A263" s="568" t="s">
        <v>120</v>
      </c>
      <c r="B263" s="584" t="s">
        <v>207</v>
      </c>
      <c r="C263" s="584"/>
      <c r="D263" s="183"/>
    </row>
    <row r="264" spans="1:4" s="141" customFormat="1">
      <c r="A264" s="569"/>
      <c r="B264" s="586" t="s">
        <v>6</v>
      </c>
      <c r="C264" s="586"/>
      <c r="D264" s="213"/>
    </row>
    <row r="265" spans="1:4" s="141" customFormat="1">
      <c r="A265" s="569"/>
      <c r="B265" s="586" t="s">
        <v>14</v>
      </c>
      <c r="C265" s="586"/>
      <c r="D265" s="213"/>
    </row>
    <row r="266" spans="1:4" s="141" customFormat="1" ht="15.75" thickBot="1">
      <c r="A266" s="585"/>
      <c r="B266" s="589" t="s">
        <v>15</v>
      </c>
      <c r="C266" s="589"/>
      <c r="D266" s="214"/>
    </row>
    <row r="267" spans="1:4" ht="30" customHeight="1">
      <c r="A267" s="616" t="s">
        <v>122</v>
      </c>
      <c r="B267" s="619" t="s">
        <v>250</v>
      </c>
      <c r="C267" s="619"/>
      <c r="D267" s="236"/>
    </row>
    <row r="268" spans="1:4" s="141" customFormat="1">
      <c r="A268" s="617"/>
      <c r="B268" s="572" t="s">
        <v>6</v>
      </c>
      <c r="C268" s="186" t="s">
        <v>261</v>
      </c>
      <c r="D268" s="233"/>
    </row>
    <row r="269" spans="1:4" s="141" customFormat="1">
      <c r="A269" s="617"/>
      <c r="B269" s="572"/>
      <c r="C269" s="186" t="s">
        <v>147</v>
      </c>
      <c r="D269" s="229"/>
    </row>
    <row r="270" spans="1:4" s="141" customFormat="1">
      <c r="A270" s="617"/>
      <c r="B270" s="572" t="s">
        <v>14</v>
      </c>
      <c r="C270" s="186" t="s">
        <v>261</v>
      </c>
      <c r="D270" s="233"/>
    </row>
    <row r="271" spans="1:4" s="141" customFormat="1">
      <c r="A271" s="617"/>
      <c r="B271" s="572"/>
      <c r="C271" s="186" t="s">
        <v>147</v>
      </c>
      <c r="D271" s="229"/>
    </row>
    <row r="272" spans="1:4" s="141" customFormat="1">
      <c r="A272" s="617"/>
      <c r="B272" s="572" t="s">
        <v>15</v>
      </c>
      <c r="C272" s="186" t="s">
        <v>261</v>
      </c>
      <c r="D272" s="233"/>
    </row>
    <row r="273" spans="1:4" s="141" customFormat="1" ht="15.75" thickBot="1">
      <c r="A273" s="618"/>
      <c r="B273" s="550"/>
      <c r="C273" s="230" t="s">
        <v>147</v>
      </c>
      <c r="D273" s="232"/>
    </row>
    <row r="274" spans="1:4" ht="30" customHeight="1">
      <c r="A274" s="616" t="s">
        <v>123</v>
      </c>
      <c r="B274" s="619" t="s">
        <v>251</v>
      </c>
      <c r="C274" s="619"/>
      <c r="D274" s="237"/>
    </row>
    <row r="275" spans="1:4" s="141" customFormat="1">
      <c r="A275" s="617"/>
      <c r="B275" s="572" t="s">
        <v>6</v>
      </c>
      <c r="C275" s="186" t="s">
        <v>261</v>
      </c>
      <c r="D275" s="233"/>
    </row>
    <row r="276" spans="1:4" s="141" customFormat="1">
      <c r="A276" s="617"/>
      <c r="B276" s="572"/>
      <c r="C276" s="186" t="s">
        <v>147</v>
      </c>
      <c r="D276" s="229"/>
    </row>
    <row r="277" spans="1:4" s="141" customFormat="1">
      <c r="A277" s="617"/>
      <c r="B277" s="572" t="s">
        <v>14</v>
      </c>
      <c r="C277" s="186" t="s">
        <v>261</v>
      </c>
      <c r="D277" s="233"/>
    </row>
    <row r="278" spans="1:4" s="141" customFormat="1">
      <c r="A278" s="617"/>
      <c r="B278" s="572"/>
      <c r="C278" s="186" t="s">
        <v>147</v>
      </c>
      <c r="D278" s="229"/>
    </row>
    <row r="279" spans="1:4" s="141" customFormat="1">
      <c r="A279" s="617"/>
      <c r="B279" s="572" t="s">
        <v>15</v>
      </c>
      <c r="C279" s="186" t="s">
        <v>261</v>
      </c>
      <c r="D279" s="233"/>
    </row>
    <row r="280" spans="1:4" s="141" customFormat="1" ht="15.75" thickBot="1">
      <c r="A280" s="618"/>
      <c r="B280" s="550"/>
      <c r="C280" s="230" t="s">
        <v>147</v>
      </c>
      <c r="D280" s="232"/>
    </row>
    <row r="281" spans="1:4" ht="30" customHeight="1">
      <c r="A281" s="616" t="s">
        <v>124</v>
      </c>
      <c r="B281" s="619" t="s">
        <v>252</v>
      </c>
      <c r="C281" s="619"/>
      <c r="D281" s="236"/>
    </row>
    <row r="282" spans="1:4" s="141" customFormat="1">
      <c r="A282" s="617"/>
      <c r="B282" s="572" t="s">
        <v>6</v>
      </c>
      <c r="C282" s="186" t="s">
        <v>261</v>
      </c>
      <c r="D282" s="233"/>
    </row>
    <row r="283" spans="1:4" s="141" customFormat="1">
      <c r="A283" s="617"/>
      <c r="B283" s="572"/>
      <c r="C283" s="186" t="s">
        <v>147</v>
      </c>
      <c r="D283" s="229"/>
    </row>
    <row r="284" spans="1:4" s="141" customFormat="1">
      <c r="A284" s="617"/>
      <c r="B284" s="572" t="s">
        <v>14</v>
      </c>
      <c r="C284" s="186" t="s">
        <v>261</v>
      </c>
      <c r="D284" s="233"/>
    </row>
    <row r="285" spans="1:4" s="141" customFormat="1">
      <c r="A285" s="617"/>
      <c r="B285" s="572"/>
      <c r="C285" s="186" t="s">
        <v>147</v>
      </c>
      <c r="D285" s="229"/>
    </row>
    <row r="286" spans="1:4" s="141" customFormat="1">
      <c r="A286" s="617"/>
      <c r="B286" s="572" t="s">
        <v>15</v>
      </c>
      <c r="C286" s="186" t="s">
        <v>261</v>
      </c>
      <c r="D286" s="233"/>
    </row>
    <row r="287" spans="1:4" s="141" customFormat="1" ht="15.75" thickBot="1">
      <c r="A287" s="618"/>
      <c r="B287" s="550"/>
      <c r="C287" s="230" t="s">
        <v>147</v>
      </c>
      <c r="D287" s="232"/>
    </row>
    <row r="288" spans="1:4" ht="45" customHeight="1">
      <c r="A288" s="568" t="s">
        <v>131</v>
      </c>
      <c r="B288" s="584" t="s">
        <v>211</v>
      </c>
      <c r="C288" s="584"/>
      <c r="D288" s="183"/>
    </row>
    <row r="289" spans="1:4" s="141" customFormat="1">
      <c r="A289" s="569"/>
      <c r="B289" s="586" t="s">
        <v>6</v>
      </c>
      <c r="C289" s="586"/>
      <c r="D289" s="213"/>
    </row>
    <row r="290" spans="1:4" s="141" customFormat="1">
      <c r="A290" s="569"/>
      <c r="B290" s="586" t="s">
        <v>14</v>
      </c>
      <c r="C290" s="586"/>
      <c r="D290" s="213"/>
    </row>
    <row r="291" spans="1:4" s="141" customFormat="1" ht="15.75" thickBot="1">
      <c r="A291" s="585"/>
      <c r="B291" s="589" t="s">
        <v>15</v>
      </c>
      <c r="C291" s="589"/>
      <c r="D291" s="214"/>
    </row>
    <row r="292" spans="1:4" ht="30" customHeight="1">
      <c r="A292" s="568" t="s">
        <v>132</v>
      </c>
      <c r="B292" s="584" t="s">
        <v>212</v>
      </c>
      <c r="C292" s="584"/>
      <c r="D292" s="183"/>
    </row>
    <row r="293" spans="1:4" s="141" customFormat="1">
      <c r="A293" s="569"/>
      <c r="B293" s="586" t="s">
        <v>6</v>
      </c>
      <c r="C293" s="586"/>
      <c r="D293" s="213"/>
    </row>
    <row r="294" spans="1:4" s="141" customFormat="1">
      <c r="A294" s="569"/>
      <c r="B294" s="586" t="s">
        <v>14</v>
      </c>
      <c r="C294" s="586"/>
      <c r="D294" s="213"/>
    </row>
    <row r="295" spans="1:4" s="141" customFormat="1" ht="15.75" thickBot="1">
      <c r="A295" s="585"/>
      <c r="B295" s="589" t="s">
        <v>15</v>
      </c>
      <c r="C295" s="589"/>
      <c r="D295" s="214"/>
    </row>
    <row r="296" spans="1:4" ht="30" customHeight="1">
      <c r="A296" s="568" t="s">
        <v>133</v>
      </c>
      <c r="B296" s="584" t="s">
        <v>213</v>
      </c>
      <c r="C296" s="584"/>
      <c r="D296" s="183"/>
    </row>
    <row r="297" spans="1:4" s="141" customFormat="1">
      <c r="A297" s="569"/>
      <c r="B297" s="586" t="s">
        <v>6</v>
      </c>
      <c r="C297" s="586"/>
      <c r="D297" s="213"/>
    </row>
    <row r="298" spans="1:4" s="141" customFormat="1">
      <c r="A298" s="569"/>
      <c r="B298" s="586" t="s">
        <v>14</v>
      </c>
      <c r="C298" s="586"/>
      <c r="D298" s="213"/>
    </row>
    <row r="299" spans="1:4" s="141" customFormat="1" ht="15.75" thickBot="1">
      <c r="A299" s="585"/>
      <c r="B299" s="589" t="s">
        <v>15</v>
      </c>
      <c r="C299" s="589"/>
      <c r="D299" s="214"/>
    </row>
    <row r="300" spans="1:4" ht="30" customHeight="1">
      <c r="A300" s="568" t="s">
        <v>140</v>
      </c>
      <c r="B300" s="584" t="s">
        <v>214</v>
      </c>
      <c r="C300" s="584"/>
      <c r="D300" s="183"/>
    </row>
    <row r="301" spans="1:4" s="141" customFormat="1">
      <c r="A301" s="569"/>
      <c r="B301" s="586" t="s">
        <v>6</v>
      </c>
      <c r="C301" s="586"/>
      <c r="D301" s="213"/>
    </row>
    <row r="302" spans="1:4" s="141" customFormat="1">
      <c r="A302" s="569"/>
      <c r="B302" s="586" t="s">
        <v>14</v>
      </c>
      <c r="C302" s="586"/>
      <c r="D302" s="213"/>
    </row>
    <row r="303" spans="1:4" s="141" customFormat="1" ht="15.75" thickBot="1">
      <c r="A303" s="585"/>
      <c r="B303" s="589" t="s">
        <v>15</v>
      </c>
      <c r="C303" s="589"/>
      <c r="D303" s="214"/>
    </row>
  </sheetData>
  <protectedRanges>
    <protectedRange sqref="D153:D164 D166:D177 D179:D190 D140:D151" name="Intervalo1_1" securityDescriptor="O:WDG:WDD:(A;;CC;;;WD)"/>
    <protectedRange sqref="D275:D280 D282:D287 D268:D273" name="Intervalo1_2" securityDescriptor="O:WDG:WDD:(A;;CC;;;WD)"/>
  </protectedRanges>
  <mergeCells count="307">
    <mergeCell ref="A292:A295"/>
    <mergeCell ref="A288:A291"/>
    <mergeCell ref="B1:D2"/>
    <mergeCell ref="B3:D4"/>
    <mergeCell ref="A263:A266"/>
    <mergeCell ref="A259:A262"/>
    <mergeCell ref="A255:A258"/>
    <mergeCell ref="A251:A254"/>
    <mergeCell ref="A247:A250"/>
    <mergeCell ref="A243:A246"/>
    <mergeCell ref="A281:A287"/>
    <mergeCell ref="B256:C256"/>
    <mergeCell ref="B257:C257"/>
    <mergeCell ref="B258:C258"/>
    <mergeCell ref="B260:C260"/>
    <mergeCell ref="B245:C245"/>
    <mergeCell ref="B246:C246"/>
    <mergeCell ref="B248:C248"/>
    <mergeCell ref="B249:C249"/>
    <mergeCell ref="B250:C250"/>
    <mergeCell ref="B252:C252"/>
    <mergeCell ref="A239:A242"/>
    <mergeCell ref="B239:C239"/>
    <mergeCell ref="B240:C240"/>
    <mergeCell ref="B296:C296"/>
    <mergeCell ref="B300:C300"/>
    <mergeCell ref="B261:C261"/>
    <mergeCell ref="B262:C262"/>
    <mergeCell ref="B264:C264"/>
    <mergeCell ref="B265:C265"/>
    <mergeCell ref="B266:C266"/>
    <mergeCell ref="B253:C253"/>
    <mergeCell ref="B254:C254"/>
    <mergeCell ref="B247:C247"/>
    <mergeCell ref="B251:C251"/>
    <mergeCell ref="B255:C255"/>
    <mergeCell ref="B259:C259"/>
    <mergeCell ref="B263:C263"/>
    <mergeCell ref="B288:C288"/>
    <mergeCell ref="B292:C292"/>
    <mergeCell ref="B281:C281"/>
    <mergeCell ref="B282:B283"/>
    <mergeCell ref="B284:B285"/>
    <mergeCell ref="B286:B287"/>
    <mergeCell ref="A300:A303"/>
    <mergeCell ref="A296:A299"/>
    <mergeCell ref="B294:C294"/>
    <mergeCell ref="B295:C295"/>
    <mergeCell ref="A267:A273"/>
    <mergeCell ref="B267:C267"/>
    <mergeCell ref="B268:B269"/>
    <mergeCell ref="B270:B271"/>
    <mergeCell ref="B272:B273"/>
    <mergeCell ref="A274:A280"/>
    <mergeCell ref="B274:C274"/>
    <mergeCell ref="B275:B276"/>
    <mergeCell ref="B298:C298"/>
    <mergeCell ref="B299:C299"/>
    <mergeCell ref="B289:C289"/>
    <mergeCell ref="B290:C290"/>
    <mergeCell ref="B291:C291"/>
    <mergeCell ref="B293:C293"/>
    <mergeCell ref="B297:C297"/>
    <mergeCell ref="B277:B278"/>
    <mergeCell ref="B279:B280"/>
    <mergeCell ref="B302:C302"/>
    <mergeCell ref="B303:C303"/>
    <mergeCell ref="B301:C301"/>
    <mergeCell ref="B241:C241"/>
    <mergeCell ref="B242:C242"/>
    <mergeCell ref="B244:C244"/>
    <mergeCell ref="A231:A234"/>
    <mergeCell ref="B231:C231"/>
    <mergeCell ref="B232:C232"/>
    <mergeCell ref="B233:C233"/>
    <mergeCell ref="B234:C234"/>
    <mergeCell ref="A235:A238"/>
    <mergeCell ref="B235:C235"/>
    <mergeCell ref="B236:C236"/>
    <mergeCell ref="B237:C237"/>
    <mergeCell ref="B238:C238"/>
    <mergeCell ref="B243:C243"/>
    <mergeCell ref="A215:A218"/>
    <mergeCell ref="A219:A222"/>
    <mergeCell ref="A223:A226"/>
    <mergeCell ref="A227:A230"/>
    <mergeCell ref="B227:C227"/>
    <mergeCell ref="B228:C228"/>
    <mergeCell ref="B229:C229"/>
    <mergeCell ref="B230:C230"/>
    <mergeCell ref="B224:C224"/>
    <mergeCell ref="B225:C225"/>
    <mergeCell ref="B226:C226"/>
    <mergeCell ref="B215:C215"/>
    <mergeCell ref="B219:C219"/>
    <mergeCell ref="B223:C223"/>
    <mergeCell ref="B216:C216"/>
    <mergeCell ref="B217:C217"/>
    <mergeCell ref="B218:C218"/>
    <mergeCell ref="B220:C220"/>
    <mergeCell ref="B221:C221"/>
    <mergeCell ref="B222:C222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9:A202"/>
    <mergeCell ref="B199:C199"/>
    <mergeCell ref="B200:C200"/>
    <mergeCell ref="B201:C201"/>
    <mergeCell ref="B202:C202"/>
    <mergeCell ref="A203:A206"/>
    <mergeCell ref="B203:C203"/>
    <mergeCell ref="B204:C204"/>
    <mergeCell ref="B205:C205"/>
    <mergeCell ref="B206:C206"/>
    <mergeCell ref="A191:A194"/>
    <mergeCell ref="B191:C191"/>
    <mergeCell ref="B192:C192"/>
    <mergeCell ref="B193:C193"/>
    <mergeCell ref="B194:C194"/>
    <mergeCell ref="A195:A198"/>
    <mergeCell ref="B195:C195"/>
    <mergeCell ref="B196:C196"/>
    <mergeCell ref="B197:C197"/>
    <mergeCell ref="B198:C198"/>
    <mergeCell ref="A178:A190"/>
    <mergeCell ref="B178:C178"/>
    <mergeCell ref="B179:B181"/>
    <mergeCell ref="B182:B184"/>
    <mergeCell ref="B185:B187"/>
    <mergeCell ref="B188:B190"/>
    <mergeCell ref="A165:A177"/>
    <mergeCell ref="B165:C165"/>
    <mergeCell ref="B166:B168"/>
    <mergeCell ref="B169:B171"/>
    <mergeCell ref="B172:B174"/>
    <mergeCell ref="B175:B177"/>
    <mergeCell ref="A152:A164"/>
    <mergeCell ref="B152:C152"/>
    <mergeCell ref="B153:B155"/>
    <mergeCell ref="B156:B158"/>
    <mergeCell ref="B159:B161"/>
    <mergeCell ref="B162:B164"/>
    <mergeCell ref="A139:A151"/>
    <mergeCell ref="B139:C139"/>
    <mergeCell ref="B140:B142"/>
    <mergeCell ref="B143:B145"/>
    <mergeCell ref="B146:B148"/>
    <mergeCell ref="B149:B151"/>
    <mergeCell ref="B136:C136"/>
    <mergeCell ref="B137:C137"/>
    <mergeCell ref="B138:C138"/>
    <mergeCell ref="B127:C127"/>
    <mergeCell ref="A127:A130"/>
    <mergeCell ref="A131:A134"/>
    <mergeCell ref="A135:A138"/>
    <mergeCell ref="B135:C135"/>
    <mergeCell ref="B131:C131"/>
    <mergeCell ref="B128:C128"/>
    <mergeCell ref="B129:C129"/>
    <mergeCell ref="B130:C130"/>
    <mergeCell ref="B132:C132"/>
    <mergeCell ref="B133:C133"/>
    <mergeCell ref="B134:C134"/>
    <mergeCell ref="A119:A122"/>
    <mergeCell ref="B119:C119"/>
    <mergeCell ref="B120:C120"/>
    <mergeCell ref="B121:C121"/>
    <mergeCell ref="B122:C122"/>
    <mergeCell ref="A123:A126"/>
    <mergeCell ref="B123:C123"/>
    <mergeCell ref="B124:C124"/>
    <mergeCell ref="B125:C125"/>
    <mergeCell ref="B126:C126"/>
    <mergeCell ref="A111:A114"/>
    <mergeCell ref="B111:C111"/>
    <mergeCell ref="B112:C112"/>
    <mergeCell ref="B113:C113"/>
    <mergeCell ref="B114:C114"/>
    <mergeCell ref="A115:A118"/>
    <mergeCell ref="B115:C115"/>
    <mergeCell ref="B116:C116"/>
    <mergeCell ref="B117:C117"/>
    <mergeCell ref="B118:C118"/>
    <mergeCell ref="A103:A106"/>
    <mergeCell ref="B103:C103"/>
    <mergeCell ref="B104:C104"/>
    <mergeCell ref="B105:C105"/>
    <mergeCell ref="B106:C106"/>
    <mergeCell ref="A107:A110"/>
    <mergeCell ref="B107:C107"/>
    <mergeCell ref="B108:C108"/>
    <mergeCell ref="B109:C109"/>
    <mergeCell ref="B110:C110"/>
    <mergeCell ref="A95:A98"/>
    <mergeCell ref="B95:C95"/>
    <mergeCell ref="B96:C96"/>
    <mergeCell ref="B97:C97"/>
    <mergeCell ref="B98:C98"/>
    <mergeCell ref="A99:A102"/>
    <mergeCell ref="B99:C99"/>
    <mergeCell ref="B100:C100"/>
    <mergeCell ref="B101:C101"/>
    <mergeCell ref="B102:C102"/>
    <mergeCell ref="A87:A90"/>
    <mergeCell ref="B87:C87"/>
    <mergeCell ref="B88:C88"/>
    <mergeCell ref="B89:C89"/>
    <mergeCell ref="B90:C90"/>
    <mergeCell ref="A91:A94"/>
    <mergeCell ref="B91:C91"/>
    <mergeCell ref="B92:C92"/>
    <mergeCell ref="B93:C93"/>
    <mergeCell ref="B94:C94"/>
    <mergeCell ref="A83:A86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A68:A82"/>
    <mergeCell ref="B68:C68"/>
    <mergeCell ref="B69:C69"/>
    <mergeCell ref="B70:C70"/>
    <mergeCell ref="B71:C71"/>
    <mergeCell ref="B72:C72"/>
    <mergeCell ref="B73:C73"/>
    <mergeCell ref="B74:C74"/>
    <mergeCell ref="B75:C75"/>
    <mergeCell ref="B82:C82"/>
    <mergeCell ref="B61:C61"/>
    <mergeCell ref="B62:C62"/>
    <mergeCell ref="B63:C63"/>
    <mergeCell ref="B64:C64"/>
    <mergeCell ref="B65:C65"/>
    <mergeCell ref="B66:C66"/>
    <mergeCell ref="B52:C52"/>
    <mergeCell ref="A53:A67"/>
    <mergeCell ref="B53:C53"/>
    <mergeCell ref="B54:C54"/>
    <mergeCell ref="B55:C55"/>
    <mergeCell ref="B56:C56"/>
    <mergeCell ref="B57:C57"/>
    <mergeCell ref="B58:C58"/>
    <mergeCell ref="B59:C59"/>
    <mergeCell ref="B60:C60"/>
    <mergeCell ref="B67:C67"/>
    <mergeCell ref="B46:C46"/>
    <mergeCell ref="B47:C47"/>
    <mergeCell ref="B48:C48"/>
    <mergeCell ref="B49:C49"/>
    <mergeCell ref="B50:C50"/>
    <mergeCell ref="B51:C51"/>
    <mergeCell ref="B37:C37"/>
    <mergeCell ref="A38:A52"/>
    <mergeCell ref="B38:C38"/>
    <mergeCell ref="B39:C39"/>
    <mergeCell ref="B40:C40"/>
    <mergeCell ref="B41:C41"/>
    <mergeCell ref="B42:C42"/>
    <mergeCell ref="B43:C43"/>
    <mergeCell ref="B44:C44"/>
    <mergeCell ref="B45:C45"/>
    <mergeCell ref="B31:C31"/>
    <mergeCell ref="B32:C32"/>
    <mergeCell ref="B33:C33"/>
    <mergeCell ref="B34:C34"/>
    <mergeCell ref="B35:C35"/>
    <mergeCell ref="B36:C36"/>
    <mergeCell ref="B22:C2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16:C16"/>
    <mergeCell ref="B17:C17"/>
    <mergeCell ref="B18:C18"/>
    <mergeCell ref="B19:C19"/>
    <mergeCell ref="B20:C20"/>
    <mergeCell ref="B21:C21"/>
    <mergeCell ref="B7:C7"/>
    <mergeCell ref="A8:A22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51181102362204722" right="0.51181102362204722" top="0.28999999999999998" bottom="0.26" header="0.28000000000000003" footer="0.2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3:C64"/>
  <sheetViews>
    <sheetView workbookViewId="0">
      <selection activeCell="E21" sqref="E21"/>
    </sheetView>
  </sheetViews>
  <sheetFormatPr defaultColWidth="9.140625" defaultRowHeight="15"/>
  <cols>
    <col min="1" max="2" width="64.85546875" style="141" customWidth="1"/>
    <col min="3" max="3" width="26.140625" style="141" customWidth="1"/>
    <col min="4" max="16384" width="9.140625" style="141"/>
  </cols>
  <sheetData>
    <row r="3" spans="1:3">
      <c r="A3" s="158" t="s">
        <v>2</v>
      </c>
      <c r="B3" s="160" t="s">
        <v>153</v>
      </c>
      <c r="C3" s="162" t="s">
        <v>215</v>
      </c>
    </row>
    <row r="4" spans="1:3">
      <c r="A4" s="158" t="s">
        <v>3</v>
      </c>
      <c r="B4" s="160" t="s">
        <v>154</v>
      </c>
      <c r="C4" s="162" t="s">
        <v>215</v>
      </c>
    </row>
    <row r="5" spans="1:3">
      <c r="A5" s="158" t="s">
        <v>19</v>
      </c>
      <c r="B5" s="160" t="s">
        <v>155</v>
      </c>
      <c r="C5" s="162" t="s">
        <v>215</v>
      </c>
    </row>
    <row r="6" spans="1:3">
      <c r="A6" s="158" t="s">
        <v>20</v>
      </c>
      <c r="B6" s="160" t="s">
        <v>156</v>
      </c>
      <c r="C6" s="162" t="s">
        <v>215</v>
      </c>
    </row>
    <row r="7" spans="1:3">
      <c r="A7" s="158" t="s">
        <v>21</v>
      </c>
      <c r="B7" s="160" t="s">
        <v>157</v>
      </c>
      <c r="C7" s="162" t="s">
        <v>215</v>
      </c>
    </row>
    <row r="8" spans="1:3" ht="25.5">
      <c r="A8" s="158" t="s">
        <v>27</v>
      </c>
      <c r="B8" s="160" t="s">
        <v>158</v>
      </c>
      <c r="C8" s="162" t="s">
        <v>216</v>
      </c>
    </row>
    <row r="9" spans="1:3">
      <c r="A9" s="158" t="s">
        <v>28</v>
      </c>
      <c r="B9" s="160" t="s">
        <v>159</v>
      </c>
      <c r="C9" s="162" t="s">
        <v>216</v>
      </c>
    </row>
    <row r="10" spans="1:3" ht="25.5">
      <c r="A10" s="158" t="s">
        <v>29</v>
      </c>
      <c r="B10" s="160" t="s">
        <v>160</v>
      </c>
      <c r="C10" s="162" t="s">
        <v>216</v>
      </c>
    </row>
    <row r="11" spans="1:3">
      <c r="A11" s="158" t="s">
        <v>30</v>
      </c>
      <c r="B11" s="160" t="s">
        <v>161</v>
      </c>
      <c r="C11" s="162" t="s">
        <v>216</v>
      </c>
    </row>
    <row r="12" spans="1:3">
      <c r="A12" s="158" t="s">
        <v>31</v>
      </c>
      <c r="B12" s="160" t="s">
        <v>162</v>
      </c>
      <c r="C12" s="162" t="s">
        <v>216</v>
      </c>
    </row>
    <row r="13" spans="1:3" ht="25.5">
      <c r="A13" s="158" t="s">
        <v>35</v>
      </c>
      <c r="B13" s="160" t="s">
        <v>163</v>
      </c>
      <c r="C13" s="162" t="s">
        <v>216</v>
      </c>
    </row>
    <row r="14" spans="1:3">
      <c r="A14" s="158" t="s">
        <v>36</v>
      </c>
      <c r="B14" s="160" t="s">
        <v>164</v>
      </c>
      <c r="C14" s="162" t="s">
        <v>216</v>
      </c>
    </row>
    <row r="15" spans="1:3" ht="25.5">
      <c r="A15" s="158" t="s">
        <v>165</v>
      </c>
      <c r="B15" s="160" t="s">
        <v>166</v>
      </c>
      <c r="C15" s="162" t="s">
        <v>216</v>
      </c>
    </row>
    <row r="16" spans="1:3">
      <c r="A16" s="158" t="s">
        <v>38</v>
      </c>
      <c r="B16" s="160" t="s">
        <v>167</v>
      </c>
      <c r="C16" s="162" t="s">
        <v>216</v>
      </c>
    </row>
    <row r="17" spans="1:3" ht="25.5">
      <c r="A17" s="158" t="s">
        <v>42</v>
      </c>
      <c r="B17" s="160" t="s">
        <v>168</v>
      </c>
      <c r="C17" s="162" t="s">
        <v>216</v>
      </c>
    </row>
    <row r="18" spans="1:3">
      <c r="A18" s="158" t="s">
        <v>43</v>
      </c>
      <c r="B18" s="160" t="s">
        <v>169</v>
      </c>
      <c r="C18" s="162" t="s">
        <v>216</v>
      </c>
    </row>
    <row r="19" spans="1:3" ht="25.5">
      <c r="A19" s="158" t="s">
        <v>46</v>
      </c>
      <c r="B19" s="160" t="s">
        <v>170</v>
      </c>
      <c r="C19" s="162" t="s">
        <v>217</v>
      </c>
    </row>
    <row r="20" spans="1:3">
      <c r="A20" s="158" t="s">
        <v>49</v>
      </c>
      <c r="B20" s="160" t="s">
        <v>171</v>
      </c>
      <c r="C20" s="162" t="s">
        <v>218</v>
      </c>
    </row>
    <row r="21" spans="1:3">
      <c r="A21" s="158" t="s">
        <v>50</v>
      </c>
      <c r="B21" s="160" t="s">
        <v>172</v>
      </c>
      <c r="C21" s="162" t="s">
        <v>218</v>
      </c>
    </row>
    <row r="22" spans="1:3" ht="25.5">
      <c r="A22" s="158" t="s">
        <v>51</v>
      </c>
      <c r="B22" s="160" t="s">
        <v>173</v>
      </c>
      <c r="C22" s="162" t="s">
        <v>218</v>
      </c>
    </row>
    <row r="23" spans="1:3">
      <c r="A23" s="158" t="s">
        <v>55</v>
      </c>
      <c r="B23" s="160" t="s">
        <v>174</v>
      </c>
      <c r="C23" s="162" t="s">
        <v>215</v>
      </c>
    </row>
    <row r="24" spans="1:3">
      <c r="A24" s="158" t="s">
        <v>56</v>
      </c>
      <c r="B24" s="160" t="s">
        <v>175</v>
      </c>
      <c r="C24" s="162" t="s">
        <v>215</v>
      </c>
    </row>
    <row r="25" spans="1:3">
      <c r="A25" s="158" t="s">
        <v>58</v>
      </c>
      <c r="B25" s="160" t="s">
        <v>176</v>
      </c>
      <c r="C25" s="162" t="s">
        <v>215</v>
      </c>
    </row>
    <row r="26" spans="1:3">
      <c r="A26" s="158" t="s">
        <v>59</v>
      </c>
      <c r="B26" s="160" t="s">
        <v>177</v>
      </c>
      <c r="C26" s="162" t="s">
        <v>215</v>
      </c>
    </row>
    <row r="27" spans="1:3" ht="25.5">
      <c r="A27" s="158" t="s">
        <v>63</v>
      </c>
      <c r="B27" s="160" t="s">
        <v>178</v>
      </c>
      <c r="C27" s="162" t="s">
        <v>219</v>
      </c>
    </row>
    <row r="28" spans="1:3">
      <c r="A28" s="158" t="s">
        <v>64</v>
      </c>
      <c r="B28" s="160" t="s">
        <v>179</v>
      </c>
      <c r="C28" s="162" t="s">
        <v>219</v>
      </c>
    </row>
    <row r="29" spans="1:3">
      <c r="A29" s="158" t="s">
        <v>65</v>
      </c>
      <c r="B29" s="160" t="s">
        <v>180</v>
      </c>
      <c r="C29" s="162" t="s">
        <v>215</v>
      </c>
    </row>
    <row r="30" spans="1:3">
      <c r="A30" s="158" t="s">
        <v>66</v>
      </c>
      <c r="B30" s="160" t="s">
        <v>181</v>
      </c>
      <c r="C30" s="162" t="s">
        <v>215</v>
      </c>
    </row>
    <row r="31" spans="1:3">
      <c r="A31" s="158" t="s">
        <v>67</v>
      </c>
      <c r="B31" s="160" t="s">
        <v>182</v>
      </c>
      <c r="C31" s="162" t="s">
        <v>215</v>
      </c>
    </row>
    <row r="32" spans="1:3">
      <c r="A32" s="158" t="s">
        <v>68</v>
      </c>
      <c r="B32" s="160" t="s">
        <v>183</v>
      </c>
      <c r="C32" s="162" t="s">
        <v>215</v>
      </c>
    </row>
    <row r="33" spans="1:3">
      <c r="A33" s="158" t="s">
        <v>72</v>
      </c>
      <c r="B33" s="160" t="s">
        <v>184</v>
      </c>
      <c r="C33" s="162" t="s">
        <v>220</v>
      </c>
    </row>
    <row r="34" spans="1:3" ht="25.5">
      <c r="A34" s="158" t="s">
        <v>73</v>
      </c>
      <c r="B34" s="160" t="s">
        <v>185</v>
      </c>
      <c r="C34" s="162" t="s">
        <v>220</v>
      </c>
    </row>
    <row r="35" spans="1:3">
      <c r="A35" s="158" t="s">
        <v>74</v>
      </c>
      <c r="B35" s="160" t="s">
        <v>186</v>
      </c>
      <c r="C35" s="162" t="s">
        <v>220</v>
      </c>
    </row>
    <row r="36" spans="1:3" ht="25.5">
      <c r="A36" s="158" t="s">
        <v>75</v>
      </c>
      <c r="B36" s="160" t="s">
        <v>187</v>
      </c>
      <c r="C36" s="162" t="s">
        <v>220</v>
      </c>
    </row>
    <row r="37" spans="1:3" ht="25.5">
      <c r="A37" s="158" t="s">
        <v>76</v>
      </c>
      <c r="B37" s="160" t="s">
        <v>188</v>
      </c>
      <c r="C37" s="162" t="s">
        <v>220</v>
      </c>
    </row>
    <row r="38" spans="1:3">
      <c r="A38" s="158" t="s">
        <v>77</v>
      </c>
      <c r="B38" s="160" t="s">
        <v>189</v>
      </c>
      <c r="C38" s="162" t="s">
        <v>220</v>
      </c>
    </row>
    <row r="39" spans="1:3">
      <c r="A39" s="158" t="s">
        <v>78</v>
      </c>
      <c r="B39" s="160" t="s">
        <v>190</v>
      </c>
      <c r="C39" s="162" t="s">
        <v>220</v>
      </c>
    </row>
    <row r="40" spans="1:3">
      <c r="A40" s="158" t="s">
        <v>79</v>
      </c>
      <c r="B40" s="160" t="s">
        <v>191</v>
      </c>
      <c r="C40" s="162" t="s">
        <v>220</v>
      </c>
    </row>
    <row r="41" spans="1:3">
      <c r="A41" s="158" t="s">
        <v>80</v>
      </c>
      <c r="B41" s="160" t="s">
        <v>192</v>
      </c>
      <c r="C41" s="162" t="s">
        <v>220</v>
      </c>
    </row>
    <row r="42" spans="1:3">
      <c r="A42" s="158" t="s">
        <v>91</v>
      </c>
      <c r="B42" s="160" t="s">
        <v>193</v>
      </c>
      <c r="C42" s="162" t="s">
        <v>218</v>
      </c>
    </row>
    <row r="43" spans="1:3" ht="25.5">
      <c r="A43" s="158" t="s">
        <v>92</v>
      </c>
      <c r="B43" s="160" t="s">
        <v>194</v>
      </c>
      <c r="C43" s="162" t="s">
        <v>218</v>
      </c>
    </row>
    <row r="44" spans="1:3">
      <c r="A44" s="158" t="s">
        <v>93</v>
      </c>
      <c r="B44" s="160" t="s">
        <v>195</v>
      </c>
      <c r="C44" s="162" t="s">
        <v>220</v>
      </c>
    </row>
    <row r="45" spans="1:3" ht="25.5">
      <c r="A45" s="158" t="s">
        <v>96</v>
      </c>
      <c r="B45" s="160" t="s">
        <v>196</v>
      </c>
      <c r="C45" s="162" t="s">
        <v>218</v>
      </c>
    </row>
    <row r="46" spans="1:3" ht="25.5">
      <c r="A46" s="158" t="s">
        <v>97</v>
      </c>
      <c r="B46" s="160" t="s">
        <v>197</v>
      </c>
      <c r="C46" s="162" t="s">
        <v>218</v>
      </c>
    </row>
    <row r="47" spans="1:3">
      <c r="A47" s="158" t="s">
        <v>98</v>
      </c>
      <c r="B47" s="160" t="s">
        <v>198</v>
      </c>
      <c r="C47" s="162" t="s">
        <v>218</v>
      </c>
    </row>
    <row r="48" spans="1:3">
      <c r="A48" s="158" t="s">
        <v>104</v>
      </c>
      <c r="B48" s="160" t="s">
        <v>199</v>
      </c>
      <c r="C48" s="162" t="s">
        <v>215</v>
      </c>
    </row>
    <row r="49" spans="1:3">
      <c r="A49" s="158" t="s">
        <v>105</v>
      </c>
      <c r="B49" s="160" t="s">
        <v>199</v>
      </c>
      <c r="C49" s="162" t="s">
        <v>215</v>
      </c>
    </row>
    <row r="50" spans="1:3">
      <c r="A50" s="158" t="s">
        <v>106</v>
      </c>
      <c r="B50" s="160" t="s">
        <v>200</v>
      </c>
      <c r="C50" s="162" t="s">
        <v>215</v>
      </c>
    </row>
    <row r="51" spans="1:3">
      <c r="A51" s="158" t="s">
        <v>107</v>
      </c>
      <c r="B51" s="160" t="s">
        <v>201</v>
      </c>
      <c r="C51" s="162" t="s">
        <v>215</v>
      </c>
    </row>
    <row r="52" spans="1:3">
      <c r="A52" s="158" t="s">
        <v>112</v>
      </c>
      <c r="B52" s="160" t="s">
        <v>202</v>
      </c>
      <c r="C52" s="162" t="s">
        <v>218</v>
      </c>
    </row>
    <row r="53" spans="1:3" ht="25.5">
      <c r="A53" s="158" t="s">
        <v>113</v>
      </c>
      <c r="B53" s="160" t="s">
        <v>203</v>
      </c>
      <c r="C53" s="162" t="s">
        <v>218</v>
      </c>
    </row>
    <row r="54" spans="1:3">
      <c r="A54" s="158" t="s">
        <v>116</v>
      </c>
      <c r="B54" s="160" t="s">
        <v>204</v>
      </c>
      <c r="C54" s="162" t="s">
        <v>218</v>
      </c>
    </row>
    <row r="55" spans="1:3" ht="25.5">
      <c r="A55" s="158" t="s">
        <v>117</v>
      </c>
      <c r="B55" s="160" t="s">
        <v>205</v>
      </c>
      <c r="C55" s="162" t="s">
        <v>218</v>
      </c>
    </row>
    <row r="56" spans="1:3">
      <c r="A56" s="158" t="s">
        <v>118</v>
      </c>
      <c r="B56" s="160" t="s">
        <v>206</v>
      </c>
      <c r="C56" s="162" t="s">
        <v>218</v>
      </c>
    </row>
    <row r="57" spans="1:3" ht="25.5">
      <c r="A57" s="158" t="s">
        <v>120</v>
      </c>
      <c r="B57" s="160" t="s">
        <v>207</v>
      </c>
      <c r="C57" s="162" t="s">
        <v>218</v>
      </c>
    </row>
    <row r="58" spans="1:3" ht="25.5">
      <c r="A58" s="159" t="s">
        <v>122</v>
      </c>
      <c r="B58" s="161" t="s">
        <v>208</v>
      </c>
      <c r="C58" s="163" t="s">
        <v>221</v>
      </c>
    </row>
    <row r="59" spans="1:3" ht="25.5">
      <c r="A59" s="159" t="s">
        <v>123</v>
      </c>
      <c r="B59" s="161" t="s">
        <v>209</v>
      </c>
      <c r="C59" s="163" t="s">
        <v>215</v>
      </c>
    </row>
    <row r="60" spans="1:3" ht="25.5">
      <c r="A60" s="159" t="s">
        <v>124</v>
      </c>
      <c r="B60" s="161" t="s">
        <v>210</v>
      </c>
      <c r="C60" s="163" t="s">
        <v>215</v>
      </c>
    </row>
    <row r="61" spans="1:3" ht="25.5">
      <c r="A61" s="158" t="s">
        <v>131</v>
      </c>
      <c r="B61" s="160" t="s">
        <v>211</v>
      </c>
      <c r="C61" s="162" t="s">
        <v>218</v>
      </c>
    </row>
    <row r="62" spans="1:3" ht="25.5">
      <c r="A62" s="158" t="s">
        <v>132</v>
      </c>
      <c r="B62" s="160" t="s">
        <v>212</v>
      </c>
      <c r="C62" s="162" t="s">
        <v>218</v>
      </c>
    </row>
    <row r="63" spans="1:3" ht="25.5">
      <c r="A63" s="158" t="s">
        <v>133</v>
      </c>
      <c r="B63" s="160" t="s">
        <v>213</v>
      </c>
      <c r="C63" s="162" t="s">
        <v>218</v>
      </c>
    </row>
    <row r="64" spans="1:3" ht="25.5">
      <c r="A64" s="158" t="s">
        <v>140</v>
      </c>
      <c r="B64" s="160" t="s">
        <v>214</v>
      </c>
      <c r="C64" s="162" t="s">
        <v>218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33"/>
  <sheetViews>
    <sheetView zoomScale="85" zoomScaleNormal="85" workbookViewId="0">
      <selection activeCell="I32" sqref="I32:J33"/>
    </sheetView>
  </sheetViews>
  <sheetFormatPr defaultColWidth="9.140625" defaultRowHeight="15"/>
  <cols>
    <col min="1" max="1" width="29.42578125" style="1" customWidth="1"/>
    <col min="2" max="3" width="17.7109375" style="1" customWidth="1"/>
    <col min="4" max="4" width="17.5703125" style="1" customWidth="1"/>
    <col min="5" max="5" width="17.7109375" style="1" customWidth="1"/>
    <col min="6" max="6" width="17.5703125" style="1" customWidth="1"/>
    <col min="7" max="7" width="17.7109375" style="1" customWidth="1"/>
    <col min="8" max="8" width="10.7109375" style="1" customWidth="1"/>
    <col min="9" max="9" width="13" style="1" customWidth="1"/>
    <col min="10" max="10" width="10.7109375" style="1" customWidth="1"/>
    <col min="11" max="11" width="13" style="1" customWidth="1"/>
    <col min="12" max="12" width="10.7109375" style="1" customWidth="1"/>
    <col min="13" max="13" width="13" style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511" t="s">
        <v>0</v>
      </c>
      <c r="C1" s="511"/>
      <c r="D1" s="511"/>
      <c r="E1" s="51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511"/>
      <c r="C2" s="511"/>
      <c r="D2" s="511"/>
      <c r="E2" s="51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12" t="s">
        <v>26</v>
      </c>
      <c r="C3" s="512"/>
      <c r="D3" s="512"/>
      <c r="E3" s="51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12"/>
      <c r="C4" s="512"/>
      <c r="D4" s="512"/>
      <c r="E4" s="51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6.75" customHeight="1"/>
    <row r="6" spans="1:21">
      <c r="A6" s="31" t="s">
        <v>1</v>
      </c>
    </row>
    <row r="7" spans="1:21">
      <c r="A7" s="31" t="s">
        <v>27</v>
      </c>
    </row>
    <row r="8" spans="1:21" ht="15.75" thickBot="1">
      <c r="A8" s="31" t="s">
        <v>28</v>
      </c>
    </row>
    <row r="9" spans="1:21" s="37" customFormat="1" ht="30.75" customHeight="1">
      <c r="A9" s="514" t="s">
        <v>4</v>
      </c>
      <c r="B9" s="516" t="s">
        <v>302</v>
      </c>
      <c r="C9" s="517"/>
      <c r="D9" s="516" t="s">
        <v>303</v>
      </c>
      <c r="E9" s="517"/>
      <c r="F9" s="516" t="s">
        <v>299</v>
      </c>
      <c r="G9" s="517"/>
    </row>
    <row r="10" spans="1:21" ht="15.75" thickBot="1">
      <c r="A10" s="515"/>
      <c r="B10" s="7" t="s">
        <v>5</v>
      </c>
      <c r="C10" s="8" t="s">
        <v>147</v>
      </c>
      <c r="D10" s="7" t="s">
        <v>5</v>
      </c>
      <c r="E10" s="8" t="s">
        <v>147</v>
      </c>
      <c r="F10" s="7" t="s">
        <v>5</v>
      </c>
      <c r="G10" s="8" t="s">
        <v>147</v>
      </c>
    </row>
    <row r="11" spans="1:21">
      <c r="A11" s="4" t="s">
        <v>6</v>
      </c>
      <c r="B11" s="90">
        <v>1030</v>
      </c>
      <c r="C11" s="91">
        <v>2482.3000000000002</v>
      </c>
      <c r="D11" s="90">
        <v>331</v>
      </c>
      <c r="E11" s="117">
        <v>830.31</v>
      </c>
      <c r="F11" s="14">
        <f t="shared" ref="F11:G13" si="0">SUM(B11,D11)</f>
        <v>1361</v>
      </c>
      <c r="G11" s="9">
        <f t="shared" si="0"/>
        <v>3312.61</v>
      </c>
    </row>
    <row r="12" spans="1:21">
      <c r="A12" s="5" t="s">
        <v>14</v>
      </c>
      <c r="B12" s="92">
        <v>300</v>
      </c>
      <c r="C12" s="118">
        <v>723</v>
      </c>
      <c r="D12" s="430">
        <v>100</v>
      </c>
      <c r="E12" s="431">
        <v>236</v>
      </c>
      <c r="F12" s="16">
        <f t="shared" si="0"/>
        <v>400</v>
      </c>
      <c r="G12" s="11">
        <f t="shared" si="0"/>
        <v>959</v>
      </c>
    </row>
    <row r="13" spans="1:21" ht="15.75" thickBot="1">
      <c r="A13" s="6" t="s">
        <v>15</v>
      </c>
      <c r="B13" s="92">
        <v>111</v>
      </c>
      <c r="C13" s="118">
        <v>261.95999999999998</v>
      </c>
      <c r="D13" s="382">
        <v>150</v>
      </c>
      <c r="E13" s="383">
        <v>354</v>
      </c>
      <c r="F13" s="104">
        <f t="shared" si="0"/>
        <v>261</v>
      </c>
      <c r="G13" s="110">
        <f t="shared" si="0"/>
        <v>615.96</v>
      </c>
    </row>
    <row r="14" spans="1:21" ht="15.75" thickBot="1">
      <c r="A14" s="19" t="s">
        <v>32</v>
      </c>
      <c r="B14" s="18">
        <f t="shared" ref="B14:G14" si="1">SUM(B11:B13)</f>
        <v>1441</v>
      </c>
      <c r="C14" s="13">
        <f t="shared" si="1"/>
        <v>3467.26</v>
      </c>
      <c r="D14" s="18">
        <f t="shared" si="1"/>
        <v>581</v>
      </c>
      <c r="E14" s="13">
        <f t="shared" si="1"/>
        <v>1420.31</v>
      </c>
      <c r="F14" s="103">
        <f t="shared" si="1"/>
        <v>2022</v>
      </c>
      <c r="G14" s="109">
        <f t="shared" si="1"/>
        <v>4887.5700000000006</v>
      </c>
    </row>
    <row r="15" spans="1:21" ht="19.5" customHeight="1"/>
    <row r="16" spans="1:21">
      <c r="A16" s="31" t="s">
        <v>1</v>
      </c>
    </row>
    <row r="17" spans="1:10">
      <c r="A17" s="31" t="s">
        <v>29</v>
      </c>
    </row>
    <row r="18" spans="1:10" ht="15.75" thickBot="1">
      <c r="A18" s="31" t="s">
        <v>30</v>
      </c>
    </row>
    <row r="19" spans="1:10" ht="33" customHeight="1">
      <c r="A19" s="514" t="s">
        <v>4</v>
      </c>
      <c r="B19" s="516" t="s">
        <v>302</v>
      </c>
      <c r="C19" s="517"/>
      <c r="D19" s="516" t="s">
        <v>303</v>
      </c>
      <c r="E19" s="517"/>
      <c r="F19" s="516" t="s">
        <v>299</v>
      </c>
      <c r="G19" s="517"/>
    </row>
    <row r="20" spans="1:10" ht="15.75" thickBot="1">
      <c r="A20" s="515"/>
      <c r="B20" s="7" t="s">
        <v>5</v>
      </c>
      <c r="C20" s="8" t="s">
        <v>147</v>
      </c>
      <c r="D20" s="7" t="s">
        <v>5</v>
      </c>
      <c r="E20" s="8" t="s">
        <v>147</v>
      </c>
      <c r="F20" s="7" t="s">
        <v>5</v>
      </c>
      <c r="G20" s="8" t="s">
        <v>147</v>
      </c>
    </row>
    <row r="21" spans="1:10">
      <c r="A21" s="4" t="s">
        <v>6</v>
      </c>
      <c r="B21" s="90">
        <v>50</v>
      </c>
      <c r="C21" s="91">
        <v>53</v>
      </c>
      <c r="D21" s="90">
        <v>50</v>
      </c>
      <c r="E21" s="117">
        <v>53</v>
      </c>
      <c r="F21" s="14">
        <f t="shared" ref="F21:G23" si="2">SUM(B21,D21)</f>
        <v>100</v>
      </c>
      <c r="G21" s="9">
        <f t="shared" si="2"/>
        <v>106</v>
      </c>
    </row>
    <row r="22" spans="1:10">
      <c r="A22" s="5" t="s">
        <v>14</v>
      </c>
      <c r="B22" s="92">
        <v>30</v>
      </c>
      <c r="C22" s="118">
        <v>31.8</v>
      </c>
      <c r="D22" s="432">
        <v>20</v>
      </c>
      <c r="E22" s="433">
        <v>21.2</v>
      </c>
      <c r="F22" s="16">
        <f t="shared" si="2"/>
        <v>50</v>
      </c>
      <c r="G22" s="11">
        <f t="shared" si="2"/>
        <v>53</v>
      </c>
    </row>
    <row r="23" spans="1:10" ht="15.75" thickBot="1">
      <c r="A23" s="6" t="s">
        <v>15</v>
      </c>
      <c r="B23" s="92">
        <v>26</v>
      </c>
      <c r="C23" s="118">
        <v>38.74</v>
      </c>
      <c r="D23" s="384">
        <v>38</v>
      </c>
      <c r="E23" s="385">
        <v>56.62</v>
      </c>
      <c r="F23" s="104">
        <f t="shared" si="2"/>
        <v>64</v>
      </c>
      <c r="G23" s="110">
        <f t="shared" si="2"/>
        <v>95.36</v>
      </c>
    </row>
    <row r="24" spans="1:10" ht="15.75" thickBot="1">
      <c r="A24" s="19" t="s">
        <v>33</v>
      </c>
      <c r="B24" s="18">
        <f t="shared" ref="B24:G24" si="3">SUM(B21:B23)</f>
        <v>106</v>
      </c>
      <c r="C24" s="13">
        <f t="shared" si="3"/>
        <v>123.53999999999999</v>
      </c>
      <c r="D24" s="18">
        <f t="shared" si="3"/>
        <v>108</v>
      </c>
      <c r="E24" s="13">
        <f t="shared" si="3"/>
        <v>130.82</v>
      </c>
      <c r="F24" s="103">
        <f t="shared" si="3"/>
        <v>214</v>
      </c>
      <c r="G24" s="109">
        <f t="shared" si="3"/>
        <v>254.36</v>
      </c>
    </row>
    <row r="25" spans="1:10" ht="19.5" customHeight="1"/>
    <row r="26" spans="1:10">
      <c r="A26" s="31" t="s">
        <v>1</v>
      </c>
    </row>
    <row r="27" spans="1:10" ht="15.75" thickBot="1">
      <c r="A27" s="31" t="s">
        <v>31</v>
      </c>
    </row>
    <row r="28" spans="1:10" ht="31.5" customHeight="1">
      <c r="A28" s="514" t="s">
        <v>4</v>
      </c>
      <c r="B28" s="516" t="s">
        <v>302</v>
      </c>
      <c r="C28" s="517"/>
      <c r="D28" s="516" t="s">
        <v>303</v>
      </c>
      <c r="E28" s="517"/>
      <c r="F28" s="516" t="s">
        <v>299</v>
      </c>
      <c r="G28" s="517"/>
    </row>
    <row r="29" spans="1:10" ht="15.75" thickBot="1">
      <c r="A29" s="515"/>
      <c r="B29" s="7" t="s">
        <v>5</v>
      </c>
      <c r="C29" s="8" t="s">
        <v>147</v>
      </c>
      <c r="D29" s="7" t="s">
        <v>5</v>
      </c>
      <c r="E29" s="8" t="s">
        <v>147</v>
      </c>
      <c r="F29" s="39" t="s">
        <v>5</v>
      </c>
      <c r="G29" s="469" t="s">
        <v>147</v>
      </c>
    </row>
    <row r="30" spans="1:10">
      <c r="A30" s="33" t="s">
        <v>32</v>
      </c>
      <c r="B30" s="23">
        <f>B14</f>
        <v>1441</v>
      </c>
      <c r="C30" s="24">
        <f>C14</f>
        <v>3467.26</v>
      </c>
      <c r="D30" s="23">
        <f>D14</f>
        <v>581</v>
      </c>
      <c r="E30" s="24">
        <f>E14</f>
        <v>1420.31</v>
      </c>
      <c r="F30" s="44">
        <f>B30+D30</f>
        <v>2022</v>
      </c>
      <c r="G30" s="45">
        <f>C30+E30</f>
        <v>4887.57</v>
      </c>
    </row>
    <row r="31" spans="1:10" ht="15.75" thickBot="1">
      <c r="A31" s="34" t="s">
        <v>33</v>
      </c>
      <c r="B31" s="25">
        <f>B24</f>
        <v>106</v>
      </c>
      <c r="C31" s="26">
        <f>C24</f>
        <v>123.53999999999999</v>
      </c>
      <c r="D31" s="25">
        <f>D24</f>
        <v>108</v>
      </c>
      <c r="E31" s="26">
        <f>E24</f>
        <v>130.82</v>
      </c>
      <c r="F31" s="42">
        <f>B31+D31</f>
        <v>214</v>
      </c>
      <c r="G31" s="43">
        <f>C31+E31</f>
        <v>254.35999999999999</v>
      </c>
    </row>
    <row r="32" spans="1:10" ht="15.75" thickBot="1">
      <c r="A32" s="19" t="s">
        <v>34</v>
      </c>
      <c r="B32" s="18">
        <f t="shared" ref="B32:G32" si="4">SUM(B30:B31)</f>
        <v>1547</v>
      </c>
      <c r="C32" s="13">
        <f t="shared" si="4"/>
        <v>3590.8</v>
      </c>
      <c r="D32" s="18">
        <f t="shared" si="4"/>
        <v>689</v>
      </c>
      <c r="E32" s="13">
        <f t="shared" si="4"/>
        <v>1551.1299999999999</v>
      </c>
      <c r="F32" s="18">
        <f t="shared" si="4"/>
        <v>2236</v>
      </c>
      <c r="G32" s="13">
        <f t="shared" si="4"/>
        <v>5141.9299999999994</v>
      </c>
      <c r="I32" s="1">
        <f>5537-2236</f>
        <v>3301</v>
      </c>
      <c r="J32" s="141">
        <f>3557-2236</f>
        <v>1321</v>
      </c>
    </row>
    <row r="33" spans="9:10">
      <c r="I33" s="507">
        <f>I32/5537</f>
        <v>0.59617121184757094</v>
      </c>
      <c r="J33" s="507">
        <f>J32/5537</f>
        <v>0.23857684666787068</v>
      </c>
    </row>
  </sheetData>
  <protectedRanges>
    <protectedRange sqref="B11:E13 B21:E23" name="Intervalo1" securityDescriptor="O:WDG:WDD:(A;;CC;;;WD)"/>
  </protectedRanges>
  <customSheetViews>
    <customSheetView guid="{DFED14A5-FC7F-4CB0-A970-C00E731629C6}" scale="85">
      <selection activeCell="J7" sqref="J7"/>
      <pageMargins left="0.511811024" right="0.511811024" top="0.78740157499999996" bottom="0.78740157499999996" header="0.31496062000000002" footer="0.31496062000000002"/>
    </customSheetView>
  </customSheetViews>
  <mergeCells count="14">
    <mergeCell ref="F9:G9"/>
    <mergeCell ref="F28:G28"/>
    <mergeCell ref="A19:A20"/>
    <mergeCell ref="B19:C19"/>
    <mergeCell ref="D19:E19"/>
    <mergeCell ref="F19:G19"/>
    <mergeCell ref="B1:E2"/>
    <mergeCell ref="B3:E4"/>
    <mergeCell ref="A28:A29"/>
    <mergeCell ref="B28:C28"/>
    <mergeCell ref="D28:E28"/>
    <mergeCell ref="A9:A10"/>
    <mergeCell ref="B9:C9"/>
    <mergeCell ref="D9:E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29"/>
  <sheetViews>
    <sheetView zoomScale="85" zoomScaleNormal="85" workbookViewId="0">
      <selection activeCell="J28" sqref="J28"/>
    </sheetView>
  </sheetViews>
  <sheetFormatPr defaultColWidth="9.140625" defaultRowHeight="15"/>
  <cols>
    <col min="1" max="1" width="29.42578125" style="1" customWidth="1"/>
    <col min="2" max="7" width="17.7109375" style="1" customWidth="1"/>
    <col min="8" max="8" width="10.7109375" style="1" customWidth="1"/>
    <col min="9" max="9" width="13" style="1" customWidth="1"/>
    <col min="10" max="10" width="10.7109375" style="1" customWidth="1"/>
    <col min="11" max="11" width="13" style="1" customWidth="1"/>
    <col min="12" max="12" width="10.7109375" style="1" customWidth="1"/>
    <col min="13" max="13" width="13" style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511" t="s">
        <v>0</v>
      </c>
      <c r="C1" s="511"/>
      <c r="D1" s="511"/>
      <c r="E1" s="51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511"/>
      <c r="C2" s="511"/>
      <c r="D2" s="511"/>
      <c r="E2" s="51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12" t="s">
        <v>26</v>
      </c>
      <c r="C3" s="512"/>
      <c r="D3" s="512"/>
      <c r="E3" s="51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12"/>
      <c r="C4" s="512"/>
      <c r="D4" s="512"/>
      <c r="E4" s="51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" customHeight="1"/>
    <row r="6" spans="1:21">
      <c r="A6" s="31" t="s">
        <v>1</v>
      </c>
    </row>
    <row r="7" spans="1:21">
      <c r="A7" s="31" t="s">
        <v>35</v>
      </c>
    </row>
    <row r="8" spans="1:21" ht="15.75" thickBot="1">
      <c r="A8" s="31" t="s">
        <v>37</v>
      </c>
    </row>
    <row r="9" spans="1:21" ht="30" customHeight="1">
      <c r="A9" s="514" t="s">
        <v>4</v>
      </c>
      <c r="B9" s="516" t="s">
        <v>302</v>
      </c>
      <c r="C9" s="517"/>
      <c r="D9" s="516" t="s">
        <v>303</v>
      </c>
      <c r="E9" s="517"/>
      <c r="F9" s="516" t="s">
        <v>299</v>
      </c>
      <c r="G9" s="517"/>
    </row>
    <row r="10" spans="1:21" ht="15.75" thickBot="1">
      <c r="A10" s="515"/>
      <c r="B10" s="7" t="s">
        <v>5</v>
      </c>
      <c r="C10" s="8" t="s">
        <v>147</v>
      </c>
      <c r="D10" s="7" t="s">
        <v>5</v>
      </c>
      <c r="E10" s="8" t="s">
        <v>147</v>
      </c>
      <c r="F10" s="7" t="s">
        <v>5</v>
      </c>
      <c r="G10" s="8" t="s">
        <v>147</v>
      </c>
    </row>
    <row r="11" spans="1:21">
      <c r="A11" s="4" t="s">
        <v>6</v>
      </c>
      <c r="B11" s="90">
        <v>0</v>
      </c>
      <c r="C11" s="91">
        <v>0</v>
      </c>
      <c r="D11" s="90">
        <v>0</v>
      </c>
      <c r="E11" s="117">
        <v>0</v>
      </c>
      <c r="F11" s="14">
        <f t="shared" ref="F11:G13" si="0">SUM(B11,D11)</f>
        <v>0</v>
      </c>
      <c r="G11" s="9">
        <f t="shared" si="0"/>
        <v>0</v>
      </c>
    </row>
    <row r="12" spans="1:21">
      <c r="A12" s="5" t="s">
        <v>14</v>
      </c>
      <c r="B12" s="425">
        <v>0</v>
      </c>
      <c r="C12" s="426">
        <v>0</v>
      </c>
      <c r="D12" s="425">
        <v>0</v>
      </c>
      <c r="E12" s="427">
        <v>0</v>
      </c>
      <c r="F12" s="16">
        <f t="shared" si="0"/>
        <v>0</v>
      </c>
      <c r="G12" s="11">
        <f t="shared" si="0"/>
        <v>0</v>
      </c>
    </row>
    <row r="13" spans="1:21" ht="15.75" thickBot="1">
      <c r="A13" s="6" t="s">
        <v>15</v>
      </c>
      <c r="B13" s="92">
        <v>96</v>
      </c>
      <c r="C13" s="118">
        <v>44</v>
      </c>
      <c r="D13" s="386">
        <v>384</v>
      </c>
      <c r="E13" s="387">
        <v>176</v>
      </c>
      <c r="F13" s="104">
        <f t="shared" si="0"/>
        <v>480</v>
      </c>
      <c r="G13" s="110">
        <f t="shared" si="0"/>
        <v>220</v>
      </c>
    </row>
    <row r="14" spans="1:21" ht="15.75" thickBot="1">
      <c r="A14" s="19" t="s">
        <v>39</v>
      </c>
      <c r="B14" s="18">
        <f t="shared" ref="B14:G14" si="1">SUM(B11:B13)</f>
        <v>96</v>
      </c>
      <c r="C14" s="13">
        <f t="shared" si="1"/>
        <v>44</v>
      </c>
      <c r="D14" s="18">
        <f t="shared" si="1"/>
        <v>384</v>
      </c>
      <c r="E14" s="13">
        <f t="shared" si="1"/>
        <v>176</v>
      </c>
      <c r="F14" s="103">
        <f t="shared" si="1"/>
        <v>480</v>
      </c>
      <c r="G14" s="109">
        <f t="shared" si="1"/>
        <v>220</v>
      </c>
    </row>
    <row r="15" spans="1:21" ht="6" customHeight="1"/>
    <row r="16" spans="1:21" ht="14.25" customHeight="1"/>
    <row r="17" spans="1:10">
      <c r="A17" s="31" t="s">
        <v>1</v>
      </c>
    </row>
    <row r="18" spans="1:10">
      <c r="A18" s="31" t="s">
        <v>36</v>
      </c>
    </row>
    <row r="19" spans="1:10" ht="15.75" thickBot="1">
      <c r="A19" s="31" t="s">
        <v>38</v>
      </c>
    </row>
    <row r="20" spans="1:10" ht="30.75" customHeight="1">
      <c r="A20" s="514" t="s">
        <v>4</v>
      </c>
      <c r="B20" s="516" t="s">
        <v>302</v>
      </c>
      <c r="C20" s="517"/>
      <c r="D20" s="516" t="s">
        <v>303</v>
      </c>
      <c r="E20" s="517"/>
      <c r="F20" s="516" t="s">
        <v>299</v>
      </c>
      <c r="G20" s="517"/>
    </row>
    <row r="21" spans="1:10" ht="15.75" thickBot="1">
      <c r="A21" s="515"/>
      <c r="B21" s="7" t="s">
        <v>5</v>
      </c>
      <c r="C21" s="8" t="s">
        <v>147</v>
      </c>
      <c r="D21" s="7" t="s">
        <v>5</v>
      </c>
      <c r="E21" s="8" t="s">
        <v>147</v>
      </c>
      <c r="F21" s="7" t="s">
        <v>5</v>
      </c>
      <c r="G21" s="8" t="s">
        <v>147</v>
      </c>
    </row>
    <row r="22" spans="1:10">
      <c r="A22" s="4" t="s">
        <v>6</v>
      </c>
      <c r="B22" s="349">
        <v>0</v>
      </c>
      <c r="C22" s="91">
        <v>0</v>
      </c>
      <c r="D22" s="90">
        <v>0</v>
      </c>
      <c r="E22" s="117">
        <v>0</v>
      </c>
      <c r="F22" s="14">
        <f t="shared" ref="F22:G24" si="2">SUM(B22,D22)</f>
        <v>0</v>
      </c>
      <c r="G22" s="9">
        <f t="shared" si="2"/>
        <v>0</v>
      </c>
    </row>
    <row r="23" spans="1:10">
      <c r="A23" s="5" t="s">
        <v>14</v>
      </c>
      <c r="B23" s="432">
        <v>360</v>
      </c>
      <c r="C23" s="426">
        <v>3492</v>
      </c>
      <c r="D23" s="428">
        <v>480</v>
      </c>
      <c r="E23" s="429">
        <f>9.7*480</f>
        <v>4656</v>
      </c>
      <c r="F23" s="16">
        <f t="shared" si="2"/>
        <v>840</v>
      </c>
      <c r="G23" s="11">
        <f t="shared" si="2"/>
        <v>8148</v>
      </c>
    </row>
    <row r="24" spans="1:10" ht="15.75" thickBot="1">
      <c r="A24" s="6" t="s">
        <v>15</v>
      </c>
      <c r="B24" s="92">
        <v>150</v>
      </c>
      <c r="C24" s="118">
        <v>1425</v>
      </c>
      <c r="D24" s="388">
        <v>155</v>
      </c>
      <c r="E24" s="389">
        <v>1472.5</v>
      </c>
      <c r="F24" s="104">
        <f t="shared" si="2"/>
        <v>305</v>
      </c>
      <c r="G24" s="110">
        <f t="shared" si="2"/>
        <v>2897.5</v>
      </c>
    </row>
    <row r="25" spans="1:10" ht="15.75" thickBot="1">
      <c r="A25" s="19" t="s">
        <v>40</v>
      </c>
      <c r="B25" s="18">
        <f t="shared" ref="B25:G25" si="3">SUM(B22:B24)</f>
        <v>510</v>
      </c>
      <c r="C25" s="13">
        <f t="shared" si="3"/>
        <v>4917</v>
      </c>
      <c r="D25" s="18">
        <f t="shared" si="3"/>
        <v>635</v>
      </c>
      <c r="E25" s="13">
        <f t="shared" si="3"/>
        <v>6128.5</v>
      </c>
      <c r="F25" s="103">
        <f t="shared" si="3"/>
        <v>1145</v>
      </c>
      <c r="G25" s="109">
        <f t="shared" si="3"/>
        <v>11045.5</v>
      </c>
    </row>
    <row r="26" spans="1:10" ht="4.5" customHeight="1"/>
    <row r="28" spans="1:10">
      <c r="I28" s="141">
        <f>3566-1625</f>
        <v>1941</v>
      </c>
      <c r="J28" s="141">
        <f>4563-1625</f>
        <v>2938</v>
      </c>
    </row>
    <row r="29" spans="1:10">
      <c r="I29" s="507">
        <f>I28/5537</f>
        <v>0.35055083980494856</v>
      </c>
      <c r="J29" s="507">
        <f>J28/5537</f>
        <v>0.53061224489795922</v>
      </c>
    </row>
  </sheetData>
  <protectedRanges>
    <protectedRange sqref="B11:E13 B22:E24" name="Intervalo1" securityDescriptor="O:WDG:WDD:(A;;CC;;;WD)"/>
  </protectedRanges>
  <customSheetViews>
    <customSheetView guid="{DFED14A5-FC7F-4CB0-A970-C00E731629C6}" scale="85">
      <selection activeCell="K9" sqref="K9"/>
      <pageMargins left="0.511811024" right="0.511811024" top="0.78740157499999996" bottom="0.78740157499999996" header="0.31496062000000002" footer="0.31496062000000002"/>
    </customSheetView>
  </customSheetViews>
  <mergeCells count="10">
    <mergeCell ref="F20:G20"/>
    <mergeCell ref="A9:A10"/>
    <mergeCell ref="B9:C9"/>
    <mergeCell ref="D9:E9"/>
    <mergeCell ref="F9:G9"/>
    <mergeCell ref="B1:E2"/>
    <mergeCell ref="B3:E4"/>
    <mergeCell ref="A20:A21"/>
    <mergeCell ref="B20:C20"/>
    <mergeCell ref="D20:E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68"/>
  <sheetViews>
    <sheetView zoomScale="85" zoomScaleNormal="85" workbookViewId="0">
      <selection activeCell="J27" sqref="J27"/>
    </sheetView>
  </sheetViews>
  <sheetFormatPr defaultColWidth="9.140625" defaultRowHeight="15"/>
  <cols>
    <col min="1" max="1" width="28.42578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511" t="s">
        <v>0</v>
      </c>
      <c r="C1" s="511"/>
      <c r="D1" s="511"/>
      <c r="E1" s="51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511"/>
      <c r="C2" s="511"/>
      <c r="D2" s="511"/>
      <c r="E2" s="51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12" t="s">
        <v>41</v>
      </c>
      <c r="C3" s="512"/>
      <c r="D3" s="512"/>
      <c r="E3" s="51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12"/>
      <c r="C4" s="512"/>
      <c r="D4" s="512"/>
      <c r="E4" s="51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.75" customHeight="1"/>
    <row r="6" spans="1:21">
      <c r="A6" s="31" t="s">
        <v>1</v>
      </c>
    </row>
    <row r="7" spans="1:21">
      <c r="A7" s="31" t="s">
        <v>42</v>
      </c>
    </row>
    <row r="8" spans="1:21" ht="15.75" thickBot="1">
      <c r="A8" s="31" t="s">
        <v>43</v>
      </c>
    </row>
    <row r="9" spans="1:21" ht="30.75" customHeight="1">
      <c r="A9" s="514" t="s">
        <v>4</v>
      </c>
      <c r="B9" s="516" t="s">
        <v>302</v>
      </c>
      <c r="C9" s="517"/>
      <c r="D9" s="516" t="s">
        <v>303</v>
      </c>
      <c r="E9" s="517"/>
      <c r="F9" s="516" t="s">
        <v>299</v>
      </c>
      <c r="G9" s="517"/>
    </row>
    <row r="10" spans="1:21" s="37" customFormat="1" ht="30.75" thickBot="1">
      <c r="A10" s="515"/>
      <c r="B10" s="35" t="s">
        <v>45</v>
      </c>
      <c r="C10" s="36" t="s">
        <v>44</v>
      </c>
      <c r="D10" s="35" t="s">
        <v>45</v>
      </c>
      <c r="E10" s="36" t="s">
        <v>44</v>
      </c>
      <c r="F10" s="35" t="s">
        <v>45</v>
      </c>
      <c r="G10" s="36" t="s">
        <v>44</v>
      </c>
    </row>
    <row r="11" spans="1:21">
      <c r="A11" s="4" t="s">
        <v>6</v>
      </c>
      <c r="B11" s="14">
        <f t="shared" ref="B11:G11" si="0">SUM(B12:B18)</f>
        <v>0</v>
      </c>
      <c r="C11" s="361">
        <f t="shared" si="0"/>
        <v>0</v>
      </c>
      <c r="D11" s="14">
        <f t="shared" si="0"/>
        <v>0</v>
      </c>
      <c r="E11" s="361">
        <f t="shared" si="0"/>
        <v>0</v>
      </c>
      <c r="F11" s="14">
        <f t="shared" si="0"/>
        <v>0</v>
      </c>
      <c r="G11" s="361">
        <f t="shared" si="0"/>
        <v>0</v>
      </c>
    </row>
    <row r="12" spans="1:21">
      <c r="A12" s="27" t="s">
        <v>7</v>
      </c>
      <c r="B12" s="15"/>
      <c r="C12" s="362"/>
      <c r="D12" s="15"/>
      <c r="E12" s="362"/>
      <c r="F12" s="42">
        <f>B12+D12</f>
        <v>0</v>
      </c>
      <c r="G12" s="364">
        <f>C12+E12</f>
        <v>0</v>
      </c>
    </row>
    <row r="13" spans="1:21">
      <c r="A13" s="27" t="s">
        <v>8</v>
      </c>
      <c r="B13" s="15"/>
      <c r="C13" s="362"/>
      <c r="D13" s="15"/>
      <c r="E13" s="362"/>
      <c r="F13" s="42">
        <f t="shared" ref="F13:G18" si="1">B13+D13</f>
        <v>0</v>
      </c>
      <c r="G13" s="364">
        <f t="shared" si="1"/>
        <v>0</v>
      </c>
    </row>
    <row r="14" spans="1:21">
      <c r="A14" s="27" t="s">
        <v>9</v>
      </c>
      <c r="B14" s="15"/>
      <c r="C14" s="362"/>
      <c r="D14" s="15"/>
      <c r="E14" s="362"/>
      <c r="F14" s="42">
        <f>B14+D14</f>
        <v>0</v>
      </c>
      <c r="G14" s="364">
        <f t="shared" si="1"/>
        <v>0</v>
      </c>
    </row>
    <row r="15" spans="1:21">
      <c r="A15" s="27" t="s">
        <v>10</v>
      </c>
      <c r="B15" s="15"/>
      <c r="C15" s="362"/>
      <c r="D15" s="15"/>
      <c r="E15" s="362"/>
      <c r="F15" s="42">
        <f t="shared" si="1"/>
        <v>0</v>
      </c>
      <c r="G15" s="364">
        <f t="shared" si="1"/>
        <v>0</v>
      </c>
    </row>
    <row r="16" spans="1:21">
      <c r="A16" s="27" t="s">
        <v>11</v>
      </c>
      <c r="B16" s="15"/>
      <c r="C16" s="362"/>
      <c r="D16" s="15"/>
      <c r="E16" s="362"/>
      <c r="F16" s="42">
        <f t="shared" si="1"/>
        <v>0</v>
      </c>
      <c r="G16" s="364">
        <f t="shared" si="1"/>
        <v>0</v>
      </c>
    </row>
    <row r="17" spans="1:10">
      <c r="A17" s="27" t="s">
        <v>12</v>
      </c>
      <c r="B17" s="15"/>
      <c r="C17" s="362"/>
      <c r="D17" s="15"/>
      <c r="E17" s="362"/>
      <c r="F17" s="42">
        <f t="shared" si="1"/>
        <v>0</v>
      </c>
      <c r="G17" s="364">
        <f t="shared" si="1"/>
        <v>0</v>
      </c>
    </row>
    <row r="18" spans="1:10">
      <c r="A18" s="27" t="s">
        <v>13</v>
      </c>
      <c r="B18" s="15"/>
      <c r="C18" s="362"/>
      <c r="D18" s="15"/>
      <c r="E18" s="362"/>
      <c r="F18" s="42">
        <f t="shared" si="1"/>
        <v>0</v>
      </c>
      <c r="G18" s="364">
        <f t="shared" si="1"/>
        <v>0</v>
      </c>
    </row>
    <row r="19" spans="1:10">
      <c r="A19" s="5" t="s">
        <v>14</v>
      </c>
      <c r="B19" s="16">
        <f t="shared" ref="B19:G19" si="2">SUM(B20:B21)</f>
        <v>0</v>
      </c>
      <c r="C19" s="356">
        <f t="shared" si="2"/>
        <v>0</v>
      </c>
      <c r="D19" s="16">
        <f t="shared" si="2"/>
        <v>0</v>
      </c>
      <c r="E19" s="363">
        <f t="shared" si="2"/>
        <v>0</v>
      </c>
      <c r="F19" s="16">
        <f t="shared" si="2"/>
        <v>0</v>
      </c>
      <c r="G19" s="363">
        <f t="shared" si="2"/>
        <v>0</v>
      </c>
    </row>
    <row r="20" spans="1:10">
      <c r="A20" s="28" t="s">
        <v>17</v>
      </c>
      <c r="B20" s="421"/>
      <c r="C20" s="422"/>
      <c r="D20" s="421"/>
      <c r="E20" s="424"/>
      <c r="F20" s="42">
        <f>B20+D20</f>
        <v>0</v>
      </c>
      <c r="G20" s="364">
        <f>C20+E20</f>
        <v>0</v>
      </c>
    </row>
    <row r="21" spans="1:10">
      <c r="A21" s="28" t="s">
        <v>18</v>
      </c>
      <c r="B21" s="421"/>
      <c r="C21" s="423"/>
      <c r="D21" s="421"/>
      <c r="E21" s="424"/>
      <c r="F21" s="42">
        <f>B21+D21</f>
        <v>0</v>
      </c>
      <c r="G21" s="364">
        <f>C21+E21</f>
        <v>0</v>
      </c>
    </row>
    <row r="22" spans="1:10">
      <c r="A22" s="6" t="s">
        <v>15</v>
      </c>
      <c r="B22" s="16">
        <f t="shared" ref="B22:G22" si="3">SUM(B23:B24)</f>
        <v>0</v>
      </c>
      <c r="C22" s="358">
        <f t="shared" si="3"/>
        <v>0</v>
      </c>
      <c r="D22" s="16">
        <f t="shared" si="3"/>
        <v>0</v>
      </c>
      <c r="E22" s="363">
        <f t="shared" si="3"/>
        <v>0</v>
      </c>
      <c r="F22" s="16">
        <f t="shared" si="3"/>
        <v>0</v>
      </c>
      <c r="G22" s="363">
        <f t="shared" si="3"/>
        <v>0</v>
      </c>
    </row>
    <row r="23" spans="1:10">
      <c r="A23" s="28" t="s">
        <v>17</v>
      </c>
      <c r="B23" s="15"/>
      <c r="C23" s="357"/>
      <c r="D23" s="390"/>
      <c r="E23" s="392"/>
      <c r="F23" s="42">
        <f>B23+D23</f>
        <v>0</v>
      </c>
      <c r="G23" s="364">
        <f>C23+E23</f>
        <v>0</v>
      </c>
    </row>
    <row r="24" spans="1:10" ht="15.75" thickBot="1">
      <c r="A24" s="29" t="s">
        <v>16</v>
      </c>
      <c r="B24" s="17"/>
      <c r="C24" s="359"/>
      <c r="D24" s="391"/>
      <c r="E24" s="393"/>
      <c r="F24" s="42">
        <f>B24+D24</f>
        <v>0</v>
      </c>
      <c r="G24" s="364">
        <f>C24+E24</f>
        <v>0</v>
      </c>
      <c r="I24" s="1">
        <f>157-139</f>
        <v>18</v>
      </c>
      <c r="J24" s="141">
        <f>171-139</f>
        <v>32</v>
      </c>
    </row>
    <row r="25" spans="1:10" ht="15.75" thickBot="1">
      <c r="A25" s="38" t="s">
        <v>47</v>
      </c>
      <c r="B25" s="18">
        <f t="shared" ref="B25:G25" si="4">B11+B19+B22</f>
        <v>0</v>
      </c>
      <c r="C25" s="360">
        <f t="shared" si="4"/>
        <v>0</v>
      </c>
      <c r="D25" s="18">
        <f t="shared" si="4"/>
        <v>0</v>
      </c>
      <c r="E25" s="54">
        <f t="shared" si="4"/>
        <v>0</v>
      </c>
      <c r="F25" s="18">
        <f t="shared" si="4"/>
        <v>0</v>
      </c>
      <c r="G25" s="54">
        <f t="shared" si="4"/>
        <v>0</v>
      </c>
      <c r="I25" s="508">
        <f>I24/157</f>
        <v>0.11464968152866242</v>
      </c>
      <c r="J25" s="508">
        <f>J24/171</f>
        <v>0.1871345029239766</v>
      </c>
    </row>
    <row r="27" spans="1:10">
      <c r="A27" s="31" t="s">
        <v>1</v>
      </c>
    </row>
    <row r="28" spans="1:10" ht="15.75" thickBot="1">
      <c r="A28" s="31" t="s">
        <v>46</v>
      </c>
    </row>
    <row r="29" spans="1:10" ht="30.75" customHeight="1">
      <c r="A29" s="514" t="s">
        <v>4</v>
      </c>
      <c r="B29" s="463" t="s">
        <v>302</v>
      </c>
      <c r="C29" s="463" t="s">
        <v>303</v>
      </c>
      <c r="D29" s="51" t="s">
        <v>299</v>
      </c>
    </row>
    <row r="30" spans="1:10" ht="15.75" thickBot="1">
      <c r="A30" s="521"/>
      <c r="B30" s="39" t="s">
        <v>48</v>
      </c>
      <c r="C30" s="39" t="s">
        <v>48</v>
      </c>
      <c r="D30" s="40" t="s">
        <v>48</v>
      </c>
    </row>
    <row r="31" spans="1:10">
      <c r="A31" s="4" t="s">
        <v>6</v>
      </c>
      <c r="B31" s="55" t="e">
        <f>SUM(B32:B38)</f>
        <v>#DIV/0!</v>
      </c>
      <c r="C31" s="55" t="e">
        <f>SUM(C32:C38)</f>
        <v>#DIV/0!</v>
      </c>
      <c r="D31" s="96" t="e">
        <f>SUM(D32:D38)</f>
        <v>#DIV/0!</v>
      </c>
    </row>
    <row r="32" spans="1:10">
      <c r="A32" s="27" t="s">
        <v>7</v>
      </c>
      <c r="B32" s="97" t="e">
        <f>B12/C12</f>
        <v>#DIV/0!</v>
      </c>
      <c r="C32" s="97" t="e">
        <f>D12/E12</f>
        <v>#DIV/0!</v>
      </c>
      <c r="D32" s="98" t="e">
        <f t="shared" ref="D32:D38" si="5">B32+C32</f>
        <v>#DIV/0!</v>
      </c>
    </row>
    <row r="33" spans="1:4">
      <c r="A33" s="27" t="s">
        <v>8</v>
      </c>
      <c r="B33" s="97" t="e">
        <f t="shared" ref="B33:B44" si="6">B13/C13</f>
        <v>#DIV/0!</v>
      </c>
      <c r="C33" s="97" t="e">
        <f t="shared" ref="C33:C38" si="7">D13/E13</f>
        <v>#DIV/0!</v>
      </c>
      <c r="D33" s="98" t="e">
        <f t="shared" si="5"/>
        <v>#DIV/0!</v>
      </c>
    </row>
    <row r="34" spans="1:4">
      <c r="A34" s="27" t="s">
        <v>9</v>
      </c>
      <c r="B34" s="97" t="e">
        <f t="shared" si="6"/>
        <v>#DIV/0!</v>
      </c>
      <c r="C34" s="97" t="e">
        <f t="shared" si="7"/>
        <v>#DIV/0!</v>
      </c>
      <c r="D34" s="98" t="e">
        <f t="shared" si="5"/>
        <v>#DIV/0!</v>
      </c>
    </row>
    <row r="35" spans="1:4">
      <c r="A35" s="27" t="s">
        <v>10</v>
      </c>
      <c r="B35" s="97" t="e">
        <f t="shared" si="6"/>
        <v>#DIV/0!</v>
      </c>
      <c r="C35" s="97" t="e">
        <f t="shared" si="7"/>
        <v>#DIV/0!</v>
      </c>
      <c r="D35" s="98" t="e">
        <f t="shared" si="5"/>
        <v>#DIV/0!</v>
      </c>
    </row>
    <row r="36" spans="1:4">
      <c r="A36" s="27" t="s">
        <v>11</v>
      </c>
      <c r="B36" s="97" t="e">
        <f t="shared" si="6"/>
        <v>#DIV/0!</v>
      </c>
      <c r="C36" s="97" t="e">
        <f t="shared" si="7"/>
        <v>#DIV/0!</v>
      </c>
      <c r="D36" s="98" t="e">
        <f t="shared" si="5"/>
        <v>#DIV/0!</v>
      </c>
    </row>
    <row r="37" spans="1:4">
      <c r="A37" s="27" t="s">
        <v>12</v>
      </c>
      <c r="B37" s="97" t="e">
        <f t="shared" si="6"/>
        <v>#DIV/0!</v>
      </c>
      <c r="C37" s="97" t="e">
        <f t="shared" si="7"/>
        <v>#DIV/0!</v>
      </c>
      <c r="D37" s="98" t="e">
        <f t="shared" si="5"/>
        <v>#DIV/0!</v>
      </c>
    </row>
    <row r="38" spans="1:4">
      <c r="A38" s="27" t="s">
        <v>13</v>
      </c>
      <c r="B38" s="97" t="e">
        <f t="shared" si="6"/>
        <v>#DIV/0!</v>
      </c>
      <c r="C38" s="97" t="e">
        <f t="shared" si="7"/>
        <v>#DIV/0!</v>
      </c>
      <c r="D38" s="98" t="e">
        <f t="shared" si="5"/>
        <v>#DIV/0!</v>
      </c>
    </row>
    <row r="39" spans="1:4">
      <c r="A39" s="5" t="s">
        <v>14</v>
      </c>
      <c r="B39" s="61" t="e">
        <f>SUM(B40:B41)</f>
        <v>#DIV/0!</v>
      </c>
      <c r="C39" s="61" t="e">
        <f>SUM(C40:C41)</f>
        <v>#DIV/0!</v>
      </c>
      <c r="D39" s="99" t="e">
        <f>SUM(D40:D41)</f>
        <v>#DIV/0!</v>
      </c>
    </row>
    <row r="40" spans="1:4">
      <c r="A40" s="28" t="s">
        <v>17</v>
      </c>
      <c r="B40" s="97" t="e">
        <f t="shared" si="6"/>
        <v>#DIV/0!</v>
      </c>
      <c r="C40" s="97" t="e">
        <f>D20/E20</f>
        <v>#DIV/0!</v>
      </c>
      <c r="D40" s="98" t="e">
        <f>B40+C40</f>
        <v>#DIV/0!</v>
      </c>
    </row>
    <row r="41" spans="1:4">
      <c r="A41" s="28" t="s">
        <v>18</v>
      </c>
      <c r="B41" s="97" t="e">
        <f t="shared" si="6"/>
        <v>#DIV/0!</v>
      </c>
      <c r="C41" s="97" t="e">
        <f>D21/E21</f>
        <v>#DIV/0!</v>
      </c>
      <c r="D41" s="98" t="e">
        <f>B41+C41</f>
        <v>#DIV/0!</v>
      </c>
    </row>
    <row r="42" spans="1:4">
      <c r="A42" s="6" t="s">
        <v>15</v>
      </c>
      <c r="B42" s="61" t="e">
        <f>SUM(B43:B44)</f>
        <v>#DIV/0!</v>
      </c>
      <c r="C42" s="61" t="e">
        <f>SUM(C43:C44)</f>
        <v>#DIV/0!</v>
      </c>
      <c r="D42" s="99" t="e">
        <f>SUM(D43:D44)</f>
        <v>#DIV/0!</v>
      </c>
    </row>
    <row r="43" spans="1:4">
      <c r="A43" s="28" t="s">
        <v>17</v>
      </c>
      <c r="B43" s="97" t="e">
        <f t="shared" si="6"/>
        <v>#DIV/0!</v>
      </c>
      <c r="C43" s="97" t="e">
        <f>D23/E23</f>
        <v>#DIV/0!</v>
      </c>
      <c r="D43" s="98" t="e">
        <f>B43+C43</f>
        <v>#DIV/0!</v>
      </c>
    </row>
    <row r="44" spans="1:4" ht="15.75" thickBot="1">
      <c r="A44" s="29" t="s">
        <v>16</v>
      </c>
      <c r="B44" s="97" t="e">
        <f t="shared" si="6"/>
        <v>#DIV/0!</v>
      </c>
      <c r="C44" s="97" t="e">
        <f>D24/E24</f>
        <v>#DIV/0!</v>
      </c>
      <c r="D44" s="98" t="e">
        <f>B44+C44</f>
        <v>#DIV/0!</v>
      </c>
    </row>
    <row r="45" spans="1:4" ht="15.75" thickBot="1">
      <c r="A45" s="38" t="s">
        <v>47</v>
      </c>
      <c r="B45" s="64" t="e">
        <f>B31+B39+B42</f>
        <v>#DIV/0!</v>
      </c>
      <c r="C45" s="64" t="e">
        <f>C31+C39+C42</f>
        <v>#DIV/0!</v>
      </c>
      <c r="D45" s="79" t="e">
        <f>D31+D39+D42</f>
        <v>#DIV/0!</v>
      </c>
    </row>
    <row r="47" spans="1:4">
      <c r="A47" s="31" t="s">
        <v>1</v>
      </c>
    </row>
    <row r="48" spans="1:4">
      <c r="A48" s="31" t="s">
        <v>49</v>
      </c>
    </row>
    <row r="49" spans="1:4">
      <c r="A49" s="31" t="s">
        <v>50</v>
      </c>
    </row>
    <row r="50" spans="1:4" ht="15.75" thickBot="1">
      <c r="A50" s="31" t="s">
        <v>51</v>
      </c>
    </row>
    <row r="51" spans="1:4" ht="33.75" customHeight="1">
      <c r="A51" s="514" t="s">
        <v>4</v>
      </c>
      <c r="B51" s="518" t="s">
        <v>299</v>
      </c>
      <c r="C51" s="519"/>
      <c r="D51" s="520"/>
    </row>
    <row r="52" spans="1:4" ht="30.75" thickBot="1">
      <c r="A52" s="515"/>
      <c r="B52" s="35" t="s">
        <v>52</v>
      </c>
      <c r="C52" s="52" t="s">
        <v>53</v>
      </c>
      <c r="D52" s="36" t="s">
        <v>54</v>
      </c>
    </row>
    <row r="53" spans="1:4">
      <c r="A53" s="4" t="s">
        <v>6</v>
      </c>
      <c r="B53" s="55">
        <f>SUM(B54:B60)</f>
        <v>0</v>
      </c>
      <c r="C53" s="56">
        <f>SUM(C54:C60)</f>
        <v>0</v>
      </c>
      <c r="D53" s="57">
        <f>SUM(D54:D60)</f>
        <v>0</v>
      </c>
    </row>
    <row r="54" spans="1:4">
      <c r="A54" s="27" t="s">
        <v>7</v>
      </c>
      <c r="B54" s="58"/>
      <c r="C54" s="59"/>
      <c r="D54" s="60"/>
    </row>
    <row r="55" spans="1:4">
      <c r="A55" s="27" t="s">
        <v>8</v>
      </c>
      <c r="B55" s="58"/>
      <c r="C55" s="59"/>
      <c r="D55" s="60"/>
    </row>
    <row r="56" spans="1:4">
      <c r="A56" s="27" t="s">
        <v>9</v>
      </c>
      <c r="B56" s="58"/>
      <c r="C56" s="59"/>
      <c r="D56" s="60"/>
    </row>
    <row r="57" spans="1:4">
      <c r="A57" s="27" t="s">
        <v>10</v>
      </c>
      <c r="B57" s="58"/>
      <c r="C57" s="59"/>
      <c r="D57" s="60"/>
    </row>
    <row r="58" spans="1:4">
      <c r="A58" s="27" t="s">
        <v>11</v>
      </c>
      <c r="B58" s="58"/>
      <c r="C58" s="59"/>
      <c r="D58" s="60"/>
    </row>
    <row r="59" spans="1:4">
      <c r="A59" s="27" t="s">
        <v>12</v>
      </c>
      <c r="B59" s="58"/>
      <c r="C59" s="59"/>
      <c r="D59" s="60"/>
    </row>
    <row r="60" spans="1:4">
      <c r="A60" s="27" t="s">
        <v>13</v>
      </c>
      <c r="B60" s="58"/>
      <c r="C60" s="59"/>
      <c r="D60" s="60"/>
    </row>
    <row r="61" spans="1:4">
      <c r="A61" s="5" t="s">
        <v>14</v>
      </c>
      <c r="B61" s="61">
        <f>SUM(B62:B63)</f>
        <v>0</v>
      </c>
      <c r="C61" s="62">
        <f>SUM(C62:C63)</f>
        <v>0</v>
      </c>
      <c r="D61" s="63">
        <f>SUM(D62:D63)</f>
        <v>0</v>
      </c>
    </row>
    <row r="62" spans="1:4">
      <c r="A62" s="28" t="s">
        <v>17</v>
      </c>
      <c r="B62" s="58"/>
      <c r="C62" s="59"/>
      <c r="D62" s="60"/>
    </row>
    <row r="63" spans="1:4">
      <c r="A63" s="28" t="s">
        <v>18</v>
      </c>
      <c r="B63" s="58"/>
      <c r="C63" s="59"/>
      <c r="D63" s="60"/>
    </row>
    <row r="64" spans="1:4">
      <c r="A64" s="6" t="s">
        <v>15</v>
      </c>
      <c r="B64" s="61">
        <f>SUM(B65:B66)</f>
        <v>0</v>
      </c>
      <c r="C64" s="62">
        <f>SUM(C65:C66)</f>
        <v>0</v>
      </c>
      <c r="D64" s="63">
        <f>SUM(D65:D66)</f>
        <v>0</v>
      </c>
    </row>
    <row r="65" spans="1:4">
      <c r="A65" s="28" t="s">
        <v>17</v>
      </c>
      <c r="B65" s="394"/>
      <c r="C65" s="395"/>
      <c r="D65" s="396"/>
    </row>
    <row r="66" spans="1:4" ht="15.75" thickBot="1">
      <c r="A66" s="28" t="s">
        <v>16</v>
      </c>
      <c r="B66" s="397"/>
      <c r="C66" s="398"/>
      <c r="D66" s="399"/>
    </row>
    <row r="67" spans="1:4" ht="15.75" thickBot="1">
      <c r="A67" s="19" t="s">
        <v>33</v>
      </c>
      <c r="B67" s="64">
        <f>B53+B61+B64</f>
        <v>0</v>
      </c>
      <c r="C67" s="65">
        <f>C53+C61+C64</f>
        <v>0</v>
      </c>
      <c r="D67" s="66">
        <f>D53+D61+D64</f>
        <v>0</v>
      </c>
    </row>
    <row r="68" spans="1:4" ht="4.5" customHeight="1"/>
  </sheetData>
  <protectedRanges>
    <protectedRange sqref="B12:E18 B20:E21 B23:E24 B54:D60 B62:D63 B65:D66" name="Intervalo2" securityDescriptor="O:WDG:WDD:(A;;CC;;;WD)"/>
  </protectedRanges>
  <customSheetViews>
    <customSheetView guid="{DFED14A5-FC7F-4CB0-A970-C00E731629C6}" scale="85" topLeftCell="A7">
      <selection activeCell="B12" sqref="B12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9">
    <mergeCell ref="F9:G9"/>
    <mergeCell ref="B51:D51"/>
    <mergeCell ref="B1:E2"/>
    <mergeCell ref="B3:E4"/>
    <mergeCell ref="A29:A30"/>
    <mergeCell ref="A51:A52"/>
    <mergeCell ref="A9:A10"/>
    <mergeCell ref="B9:C9"/>
    <mergeCell ref="D9:E9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59"/>
  <sheetViews>
    <sheetView topLeftCell="A22" zoomScale="85" zoomScaleNormal="85" workbookViewId="0">
      <selection activeCell="M52" sqref="M52"/>
    </sheetView>
  </sheetViews>
  <sheetFormatPr defaultColWidth="9.140625" defaultRowHeight="15"/>
  <cols>
    <col min="1" max="1" width="29.42578125" style="1" customWidth="1"/>
    <col min="2" max="2" width="16.5703125" style="1" customWidth="1"/>
    <col min="3" max="3" width="16" style="1" customWidth="1"/>
    <col min="4" max="15" width="18.7109375" style="1" customWidth="1"/>
    <col min="16" max="16" width="20.140625" style="1" customWidth="1"/>
    <col min="17" max="31" width="13.85546875" style="1" customWidth="1"/>
    <col min="32" max="16384" width="9.140625" style="1"/>
  </cols>
  <sheetData>
    <row r="1" spans="1:26" ht="15" customHeight="1"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" customHeight="1"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>
      <c r="B3" s="512" t="s">
        <v>57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6.75" customHeight="1"/>
    <row r="6" spans="1:26">
      <c r="A6" s="31" t="s">
        <v>1</v>
      </c>
    </row>
    <row r="7" spans="1:26">
      <c r="A7" s="31" t="s">
        <v>55</v>
      </c>
    </row>
    <row r="8" spans="1:26">
      <c r="A8" s="31" t="s">
        <v>56</v>
      </c>
    </row>
    <row r="9" spans="1:26">
      <c r="A9" s="31" t="s">
        <v>58</v>
      </c>
    </row>
    <row r="10" spans="1:26" ht="15.75" thickBot="1">
      <c r="A10" s="31" t="s">
        <v>59</v>
      </c>
    </row>
    <row r="11" spans="1:26" ht="35.25" customHeight="1" thickBot="1">
      <c r="A11" s="530" t="s">
        <v>4</v>
      </c>
      <c r="B11" s="531"/>
      <c r="C11" s="532"/>
      <c r="D11" s="367">
        <v>43466</v>
      </c>
      <c r="E11" s="367">
        <v>43497</v>
      </c>
      <c r="F11" s="367">
        <v>43525</v>
      </c>
      <c r="G11" s="367">
        <v>43556</v>
      </c>
      <c r="H11" s="367">
        <v>43586</v>
      </c>
      <c r="I11" s="367">
        <v>43617</v>
      </c>
      <c r="J11" s="367">
        <v>43647</v>
      </c>
      <c r="K11" s="367">
        <v>43678</v>
      </c>
      <c r="L11" s="367">
        <v>43709</v>
      </c>
      <c r="M11" s="367">
        <v>43739</v>
      </c>
      <c r="N11" s="367">
        <v>43770</v>
      </c>
      <c r="O11" s="367">
        <v>43800</v>
      </c>
      <c r="P11" s="148" t="s">
        <v>301</v>
      </c>
    </row>
    <row r="12" spans="1:26">
      <c r="A12" s="522" t="s">
        <v>255</v>
      </c>
      <c r="B12" s="525" t="s">
        <v>62</v>
      </c>
      <c r="C12" s="105" t="s">
        <v>60</v>
      </c>
      <c r="D12" s="376">
        <v>26551</v>
      </c>
      <c r="E12" s="376">
        <v>30343</v>
      </c>
      <c r="F12" s="376">
        <v>26345</v>
      </c>
      <c r="G12" s="376">
        <v>30839</v>
      </c>
      <c r="H12" s="376">
        <v>34321</v>
      </c>
      <c r="I12" s="376">
        <v>37987</v>
      </c>
      <c r="J12" s="376">
        <v>34053</v>
      </c>
      <c r="K12" s="376">
        <v>33542</v>
      </c>
      <c r="L12" s="376">
        <v>37706</v>
      </c>
      <c r="M12" s="376">
        <v>29912</v>
      </c>
      <c r="N12" s="376">
        <v>30582</v>
      </c>
      <c r="O12" s="119">
        <v>32782</v>
      </c>
      <c r="P12" s="112">
        <f t="shared" ref="P12:P29" si="0">SUM(D12:O12)</f>
        <v>384963</v>
      </c>
    </row>
    <row r="13" spans="1:26">
      <c r="A13" s="523"/>
      <c r="B13" s="526"/>
      <c r="C13" s="106" t="s">
        <v>61</v>
      </c>
      <c r="D13" s="377">
        <v>1718</v>
      </c>
      <c r="E13" s="377">
        <v>1641</v>
      </c>
      <c r="F13" s="377">
        <v>1622</v>
      </c>
      <c r="G13" s="377">
        <v>1721</v>
      </c>
      <c r="H13" s="377">
        <v>1672</v>
      </c>
      <c r="I13" s="377">
        <v>2444</v>
      </c>
      <c r="J13" s="377">
        <v>2216</v>
      </c>
      <c r="K13" s="377">
        <v>1571</v>
      </c>
      <c r="L13" s="377">
        <v>1565</v>
      </c>
      <c r="M13" s="377">
        <v>1360</v>
      </c>
      <c r="N13" s="377">
        <v>1759</v>
      </c>
      <c r="O13" s="120">
        <v>1634</v>
      </c>
      <c r="P13" s="113">
        <f t="shared" si="0"/>
        <v>20923</v>
      </c>
    </row>
    <row r="14" spans="1:26">
      <c r="A14" s="523"/>
      <c r="B14" s="527"/>
      <c r="C14" s="106" t="s">
        <v>146</v>
      </c>
      <c r="D14" s="377">
        <f>D12+D13</f>
        <v>28269</v>
      </c>
      <c r="E14" s="377">
        <f t="shared" ref="E14:O14" si="1">E12+E13</f>
        <v>31984</v>
      </c>
      <c r="F14" s="377">
        <f t="shared" si="1"/>
        <v>27967</v>
      </c>
      <c r="G14" s="377">
        <f t="shared" si="1"/>
        <v>32560</v>
      </c>
      <c r="H14" s="377">
        <f t="shared" si="1"/>
        <v>35993</v>
      </c>
      <c r="I14" s="377">
        <f t="shared" si="1"/>
        <v>40431</v>
      </c>
      <c r="J14" s="377">
        <f t="shared" si="1"/>
        <v>36269</v>
      </c>
      <c r="K14" s="377">
        <f t="shared" si="1"/>
        <v>35113</v>
      </c>
      <c r="L14" s="377">
        <f t="shared" si="1"/>
        <v>39271</v>
      </c>
      <c r="M14" s="377">
        <f t="shared" si="1"/>
        <v>31272</v>
      </c>
      <c r="N14" s="377">
        <f t="shared" si="1"/>
        <v>32341</v>
      </c>
      <c r="O14" s="377">
        <f t="shared" si="1"/>
        <v>34416</v>
      </c>
      <c r="P14" s="113">
        <f t="shared" si="0"/>
        <v>405886</v>
      </c>
    </row>
    <row r="15" spans="1:26">
      <c r="A15" s="523"/>
      <c r="B15" s="528" t="s">
        <v>147</v>
      </c>
      <c r="C15" s="106" t="s">
        <v>60</v>
      </c>
      <c r="D15" s="378">
        <v>11602.06</v>
      </c>
      <c r="E15" s="378">
        <v>13065.63</v>
      </c>
      <c r="F15" s="378">
        <v>11429.72</v>
      </c>
      <c r="G15" s="378">
        <v>13297.89</v>
      </c>
      <c r="H15" s="378">
        <v>14957.02</v>
      </c>
      <c r="I15" s="378">
        <v>16597.55</v>
      </c>
      <c r="J15" s="378">
        <v>14074.7</v>
      </c>
      <c r="K15" s="378">
        <v>13663.06</v>
      </c>
      <c r="L15" s="378">
        <v>15048.6</v>
      </c>
      <c r="M15" s="378">
        <v>11872</v>
      </c>
      <c r="N15" s="378">
        <v>12408.73</v>
      </c>
      <c r="O15" s="121">
        <v>13321.78</v>
      </c>
      <c r="P15" s="111">
        <f t="shared" si="0"/>
        <v>161338.74</v>
      </c>
    </row>
    <row r="16" spans="1:26">
      <c r="A16" s="523"/>
      <c r="B16" s="526"/>
      <c r="C16" s="106" t="s">
        <v>61</v>
      </c>
      <c r="D16" s="378">
        <v>5562</v>
      </c>
      <c r="E16" s="378">
        <v>5235.21</v>
      </c>
      <c r="F16" s="378">
        <v>5213.66</v>
      </c>
      <c r="G16" s="378">
        <v>5498.16</v>
      </c>
      <c r="H16" s="378">
        <v>5398.53</v>
      </c>
      <c r="I16" s="378">
        <v>7911.6</v>
      </c>
      <c r="J16" s="378">
        <v>7494.45</v>
      </c>
      <c r="K16" s="378">
        <v>5400.05</v>
      </c>
      <c r="L16" s="378">
        <v>5270.63</v>
      </c>
      <c r="M16" s="378">
        <v>4554.91</v>
      </c>
      <c r="N16" s="378">
        <v>6022.68</v>
      </c>
      <c r="O16" s="121">
        <v>5603.26</v>
      </c>
      <c r="P16" s="111">
        <f t="shared" si="0"/>
        <v>69165.14</v>
      </c>
    </row>
    <row r="17" spans="1:16" ht="15.75" thickBot="1">
      <c r="A17" s="524"/>
      <c r="B17" s="529"/>
      <c r="C17" s="107" t="s">
        <v>142</v>
      </c>
      <c r="D17" s="379">
        <v>24106.86</v>
      </c>
      <c r="E17" s="379">
        <v>25151.119999999999</v>
      </c>
      <c r="F17" s="379">
        <v>23544.39</v>
      </c>
      <c r="G17" s="379">
        <v>25658.12</v>
      </c>
      <c r="H17" s="379">
        <v>27730.79</v>
      </c>
      <c r="I17" s="379">
        <v>31587.66</v>
      </c>
      <c r="J17" s="379">
        <v>29665.69</v>
      </c>
      <c r="K17" s="379">
        <v>28483.48</v>
      </c>
      <c r="L17" s="379">
        <v>29910.1</v>
      </c>
      <c r="M17" s="379">
        <v>24633.4</v>
      </c>
      <c r="N17" s="379">
        <v>27718.19</v>
      </c>
      <c r="O17" s="122">
        <v>27338.39</v>
      </c>
      <c r="P17" s="115">
        <f t="shared" si="0"/>
        <v>325528.19000000006</v>
      </c>
    </row>
    <row r="18" spans="1:16" s="141" customFormat="1">
      <c r="A18" s="522" t="s">
        <v>256</v>
      </c>
      <c r="B18" s="525" t="s">
        <v>62</v>
      </c>
      <c r="C18" s="145" t="s">
        <v>60</v>
      </c>
      <c r="D18" s="376">
        <v>20225</v>
      </c>
      <c r="E18" s="376">
        <v>24909</v>
      </c>
      <c r="F18" s="376">
        <v>19586</v>
      </c>
      <c r="G18" s="376">
        <v>24859</v>
      </c>
      <c r="H18" s="376">
        <v>25834</v>
      </c>
      <c r="I18" s="376">
        <v>27596</v>
      </c>
      <c r="J18" s="376">
        <v>22334</v>
      </c>
      <c r="K18" s="376">
        <v>24890</v>
      </c>
      <c r="L18" s="376">
        <v>32076</v>
      </c>
      <c r="M18" s="376">
        <v>22629</v>
      </c>
      <c r="N18" s="376">
        <v>22098</v>
      </c>
      <c r="O18" s="153">
        <v>21447</v>
      </c>
      <c r="P18" s="150">
        <f t="shared" si="0"/>
        <v>288483</v>
      </c>
    </row>
    <row r="19" spans="1:16" s="141" customFormat="1">
      <c r="A19" s="523"/>
      <c r="B19" s="526"/>
      <c r="C19" s="146" t="s">
        <v>61</v>
      </c>
      <c r="D19" s="377">
        <v>1392</v>
      </c>
      <c r="E19" s="377">
        <v>1730</v>
      </c>
      <c r="F19" s="377">
        <v>1391</v>
      </c>
      <c r="G19" s="377">
        <v>1764</v>
      </c>
      <c r="H19" s="377">
        <v>1697</v>
      </c>
      <c r="I19" s="377">
        <v>1921</v>
      </c>
      <c r="J19" s="377">
        <v>996</v>
      </c>
      <c r="K19" s="377">
        <v>1025</v>
      </c>
      <c r="L19" s="377">
        <v>1404</v>
      </c>
      <c r="M19" s="377">
        <v>983</v>
      </c>
      <c r="N19" s="377">
        <v>877</v>
      </c>
      <c r="O19" s="154">
        <v>921</v>
      </c>
      <c r="P19" s="151">
        <f t="shared" si="0"/>
        <v>16101</v>
      </c>
    </row>
    <row r="20" spans="1:16" s="141" customFormat="1">
      <c r="A20" s="523"/>
      <c r="B20" s="527"/>
      <c r="C20" s="146" t="s">
        <v>146</v>
      </c>
      <c r="D20" s="377">
        <f t="shared" ref="D20:O20" si="2">D18+D19</f>
        <v>21617</v>
      </c>
      <c r="E20" s="377">
        <f t="shared" si="2"/>
        <v>26639</v>
      </c>
      <c r="F20" s="377">
        <f t="shared" si="2"/>
        <v>20977</v>
      </c>
      <c r="G20" s="377">
        <f t="shared" si="2"/>
        <v>26623</v>
      </c>
      <c r="H20" s="377">
        <f t="shared" si="2"/>
        <v>27531</v>
      </c>
      <c r="I20" s="377">
        <f t="shared" si="2"/>
        <v>29517</v>
      </c>
      <c r="J20" s="377">
        <f t="shared" si="2"/>
        <v>23330</v>
      </c>
      <c r="K20" s="377">
        <f t="shared" si="2"/>
        <v>25915</v>
      </c>
      <c r="L20" s="377">
        <f t="shared" si="2"/>
        <v>33480</v>
      </c>
      <c r="M20" s="377">
        <f t="shared" si="2"/>
        <v>23612</v>
      </c>
      <c r="N20" s="377">
        <f t="shared" si="2"/>
        <v>22975</v>
      </c>
      <c r="O20" s="377">
        <f t="shared" si="2"/>
        <v>22368</v>
      </c>
      <c r="P20" s="151">
        <f t="shared" si="0"/>
        <v>304584</v>
      </c>
    </row>
    <row r="21" spans="1:16" s="141" customFormat="1">
      <c r="A21" s="523"/>
      <c r="B21" s="528" t="s">
        <v>147</v>
      </c>
      <c r="C21" s="146" t="s">
        <v>60</v>
      </c>
      <c r="D21" s="378">
        <v>8837.77</v>
      </c>
      <c r="E21" s="378">
        <v>10725.76</v>
      </c>
      <c r="F21" s="378">
        <v>8497.34</v>
      </c>
      <c r="G21" s="378">
        <v>10719.29</v>
      </c>
      <c r="H21" s="378">
        <v>11258.41</v>
      </c>
      <c r="I21" s="378">
        <v>12057.44</v>
      </c>
      <c r="J21" s="378">
        <v>9231.0300000000007</v>
      </c>
      <c r="K21" s="378">
        <v>10138.73</v>
      </c>
      <c r="L21" s="378">
        <v>12801.65</v>
      </c>
      <c r="M21" s="378">
        <v>8981.39</v>
      </c>
      <c r="N21" s="378">
        <v>8966.32</v>
      </c>
      <c r="O21" s="155">
        <v>8715.52</v>
      </c>
      <c r="P21" s="149">
        <f t="shared" si="0"/>
        <v>120930.65000000001</v>
      </c>
    </row>
    <row r="22" spans="1:16" s="141" customFormat="1">
      <c r="A22" s="523"/>
      <c r="B22" s="526"/>
      <c r="C22" s="146" t="s">
        <v>61</v>
      </c>
      <c r="D22" s="378">
        <v>4509.58</v>
      </c>
      <c r="E22" s="378">
        <v>5519.15</v>
      </c>
      <c r="F22" s="378">
        <v>4471.1400000000003</v>
      </c>
      <c r="G22" s="378">
        <v>5635.53</v>
      </c>
      <c r="H22" s="378">
        <v>5459.88</v>
      </c>
      <c r="I22" s="378">
        <v>6218.57</v>
      </c>
      <c r="J22" s="378">
        <v>3368.44</v>
      </c>
      <c r="K22" s="378">
        <v>3523.26</v>
      </c>
      <c r="L22" s="378">
        <v>4728.41</v>
      </c>
      <c r="M22" s="378">
        <v>3292.26</v>
      </c>
      <c r="N22" s="378">
        <v>3002.78</v>
      </c>
      <c r="O22" s="155">
        <v>3158.26</v>
      </c>
      <c r="P22" s="149">
        <f t="shared" si="0"/>
        <v>52887.260000000009</v>
      </c>
    </row>
    <row r="23" spans="1:16" s="141" customFormat="1" ht="15.75" thickBot="1">
      <c r="A23" s="524"/>
      <c r="B23" s="529"/>
      <c r="C23" s="147" t="s">
        <v>142</v>
      </c>
      <c r="D23" s="379">
        <v>22535.29</v>
      </c>
      <c r="E23" s="379">
        <v>25255.61</v>
      </c>
      <c r="F23" s="379">
        <v>22102.73</v>
      </c>
      <c r="G23" s="379">
        <v>25376.48</v>
      </c>
      <c r="H23" s="379">
        <v>26132.39</v>
      </c>
      <c r="I23" s="379">
        <v>27475.68</v>
      </c>
      <c r="J23" s="379">
        <v>22735.62</v>
      </c>
      <c r="K23" s="379">
        <v>24947.63</v>
      </c>
      <c r="L23" s="379">
        <v>29060.39</v>
      </c>
      <c r="M23" s="379">
        <v>22497.27</v>
      </c>
      <c r="N23" s="379">
        <v>23146.53</v>
      </c>
      <c r="O23" s="156">
        <v>22423.94</v>
      </c>
      <c r="P23" s="152">
        <f t="shared" si="0"/>
        <v>293689.56</v>
      </c>
    </row>
    <row r="24" spans="1:16">
      <c r="A24" s="533" t="s">
        <v>297</v>
      </c>
      <c r="B24" s="311" t="s">
        <v>62</v>
      </c>
      <c r="C24" s="106" t="s">
        <v>146</v>
      </c>
      <c r="D24" s="333">
        <v>9086</v>
      </c>
      <c r="E24" s="333">
        <v>9404</v>
      </c>
      <c r="F24" s="333">
        <v>10045</v>
      </c>
      <c r="G24" s="333">
        <v>11389</v>
      </c>
      <c r="H24" s="333">
        <v>11550</v>
      </c>
      <c r="I24" s="120">
        <v>12560</v>
      </c>
      <c r="J24" s="120">
        <v>11666</v>
      </c>
      <c r="K24" s="120">
        <v>10415</v>
      </c>
      <c r="L24" s="377">
        <v>11483</v>
      </c>
      <c r="M24" s="120">
        <v>12029</v>
      </c>
      <c r="N24" s="120">
        <v>10322</v>
      </c>
      <c r="O24" s="120">
        <v>10241</v>
      </c>
      <c r="P24" s="113">
        <f t="shared" si="0"/>
        <v>130190</v>
      </c>
    </row>
    <row r="25" spans="1:16" ht="15.75" thickBot="1">
      <c r="A25" s="534"/>
      <c r="B25" s="312" t="s">
        <v>147</v>
      </c>
      <c r="C25" s="107" t="s">
        <v>142</v>
      </c>
      <c r="D25" s="334">
        <v>7955.42</v>
      </c>
      <c r="E25" s="334">
        <v>8111.82</v>
      </c>
      <c r="F25" s="334">
        <v>8729.6</v>
      </c>
      <c r="G25" s="334">
        <v>9821.2999999999993</v>
      </c>
      <c r="H25" s="334">
        <v>10088.02</v>
      </c>
      <c r="I25" s="122">
        <v>11132.96</v>
      </c>
      <c r="J25" s="122">
        <v>10310.08</v>
      </c>
      <c r="K25" s="122">
        <v>9452.3799999999992</v>
      </c>
      <c r="L25" s="326">
        <v>10549.1</v>
      </c>
      <c r="M25" s="122">
        <v>10928.73</v>
      </c>
      <c r="N25" s="122">
        <v>9321.9699999999993</v>
      </c>
      <c r="O25" s="122">
        <v>9557.89</v>
      </c>
      <c r="P25" s="115">
        <f t="shared" si="0"/>
        <v>115959.27</v>
      </c>
    </row>
    <row r="26" spans="1:16" s="141" customFormat="1">
      <c r="A26" s="533" t="s">
        <v>298</v>
      </c>
      <c r="B26" s="311" t="s">
        <v>62</v>
      </c>
      <c r="C26" s="146" t="s">
        <v>146</v>
      </c>
      <c r="D26" s="377">
        <v>357</v>
      </c>
      <c r="E26" s="377">
        <v>357</v>
      </c>
      <c r="F26" s="377">
        <v>772</v>
      </c>
      <c r="G26" s="377">
        <v>600</v>
      </c>
      <c r="H26" s="377">
        <v>1158</v>
      </c>
      <c r="I26" s="377">
        <v>691</v>
      </c>
      <c r="J26" s="377">
        <v>1062</v>
      </c>
      <c r="K26" s="377">
        <v>386</v>
      </c>
      <c r="L26" s="377">
        <v>836</v>
      </c>
      <c r="M26" s="377">
        <v>917</v>
      </c>
      <c r="N26" s="377">
        <v>686</v>
      </c>
      <c r="O26" s="377">
        <v>986</v>
      </c>
      <c r="P26" s="151">
        <f t="shared" si="0"/>
        <v>8808</v>
      </c>
    </row>
    <row r="27" spans="1:16" s="141" customFormat="1" ht="15.75" thickBot="1">
      <c r="A27" s="534"/>
      <c r="B27" s="312" t="s">
        <v>147</v>
      </c>
      <c r="C27" s="147" t="s">
        <v>142</v>
      </c>
      <c r="D27" s="379">
        <v>377.58</v>
      </c>
      <c r="E27" s="379">
        <v>373.07</v>
      </c>
      <c r="F27" s="379">
        <v>763.18</v>
      </c>
      <c r="G27" s="379">
        <v>617.89</v>
      </c>
      <c r="H27" s="379">
        <v>1103.54</v>
      </c>
      <c r="I27" s="379">
        <v>706.46</v>
      </c>
      <c r="J27" s="379">
        <v>1032.1400000000001</v>
      </c>
      <c r="K27" s="379">
        <v>419.77</v>
      </c>
      <c r="L27" s="379">
        <v>860.9</v>
      </c>
      <c r="M27" s="379">
        <v>920.24</v>
      </c>
      <c r="N27" s="379">
        <v>715.83</v>
      </c>
      <c r="O27" s="379">
        <v>1004.78</v>
      </c>
      <c r="P27" s="152">
        <f t="shared" si="0"/>
        <v>8895.3799999999992</v>
      </c>
    </row>
    <row r="28" spans="1:16">
      <c r="A28" s="535" t="s">
        <v>15</v>
      </c>
      <c r="B28" s="311" t="s">
        <v>62</v>
      </c>
      <c r="C28" s="106" t="s">
        <v>146</v>
      </c>
      <c r="D28" s="332">
        <v>7770</v>
      </c>
      <c r="E28" s="332">
        <v>9315</v>
      </c>
      <c r="F28" s="374">
        <v>8745</v>
      </c>
      <c r="G28" s="333">
        <v>9000</v>
      </c>
      <c r="H28" s="333">
        <v>9532</v>
      </c>
      <c r="I28" s="333">
        <v>9236</v>
      </c>
      <c r="J28" s="333">
        <v>8419</v>
      </c>
      <c r="K28" s="333">
        <v>7857</v>
      </c>
      <c r="L28" s="333">
        <v>9505</v>
      </c>
      <c r="M28" s="333">
        <v>10074</v>
      </c>
      <c r="N28" s="120">
        <v>9342</v>
      </c>
      <c r="O28" s="120">
        <v>8600</v>
      </c>
      <c r="P28" s="113">
        <f t="shared" si="0"/>
        <v>107395</v>
      </c>
    </row>
    <row r="29" spans="1:16" ht="15.75" thickBot="1">
      <c r="A29" s="534"/>
      <c r="B29" s="312" t="s">
        <v>147</v>
      </c>
      <c r="C29" s="107" t="s">
        <v>142</v>
      </c>
      <c r="D29" s="373">
        <v>6720.82</v>
      </c>
      <c r="E29" s="373">
        <v>7939.66</v>
      </c>
      <c r="F29" s="373">
        <v>7510.08</v>
      </c>
      <c r="G29" s="326">
        <v>7681.97</v>
      </c>
      <c r="H29" s="326">
        <v>8295.19</v>
      </c>
      <c r="I29" s="326">
        <v>8072.74</v>
      </c>
      <c r="J29" s="326">
        <v>7416.71</v>
      </c>
      <c r="K29" s="326">
        <v>7164.02</v>
      </c>
      <c r="L29" s="326">
        <v>8649.0300000000007</v>
      </c>
      <c r="M29" s="326">
        <v>8914.34</v>
      </c>
      <c r="N29" s="274">
        <v>8496.61</v>
      </c>
      <c r="O29" s="274">
        <v>7782.88</v>
      </c>
      <c r="P29" s="273">
        <f t="shared" si="0"/>
        <v>94644.05</v>
      </c>
    </row>
    <row r="30" spans="1:16">
      <c r="A30" s="31"/>
    </row>
    <row r="31" spans="1:16">
      <c r="A31" s="31"/>
    </row>
    <row r="32" spans="1:16">
      <c r="A32" s="31" t="s">
        <v>1</v>
      </c>
    </row>
    <row r="33" spans="1:16">
      <c r="A33" s="31" t="s">
        <v>63</v>
      </c>
    </row>
    <row r="34" spans="1:16" ht="15.75" thickBot="1">
      <c r="A34" s="31" t="s">
        <v>64</v>
      </c>
    </row>
    <row r="35" spans="1:16" ht="35.25" customHeight="1" thickBot="1">
      <c r="A35" s="530" t="s">
        <v>4</v>
      </c>
      <c r="B35" s="531"/>
      <c r="C35" s="532"/>
      <c r="D35" s="367">
        <v>43466</v>
      </c>
      <c r="E35" s="367">
        <v>43497</v>
      </c>
      <c r="F35" s="367">
        <v>43525</v>
      </c>
      <c r="G35" s="367">
        <v>43556</v>
      </c>
      <c r="H35" s="367">
        <v>43586</v>
      </c>
      <c r="I35" s="367">
        <v>43617</v>
      </c>
      <c r="J35" s="367">
        <v>43647</v>
      </c>
      <c r="K35" s="367">
        <v>43678</v>
      </c>
      <c r="L35" s="367">
        <v>43709</v>
      </c>
      <c r="M35" s="367">
        <v>43739</v>
      </c>
      <c r="N35" s="367">
        <v>43770</v>
      </c>
      <c r="O35" s="367">
        <v>43800</v>
      </c>
      <c r="P35" s="148" t="s">
        <v>301</v>
      </c>
    </row>
    <row r="36" spans="1:16">
      <c r="A36" s="533" t="s">
        <v>255</v>
      </c>
      <c r="B36" s="525" t="s">
        <v>143</v>
      </c>
      <c r="C36" s="145" t="s">
        <v>144</v>
      </c>
      <c r="D36" s="380">
        <v>136</v>
      </c>
      <c r="E36" s="380">
        <v>143</v>
      </c>
      <c r="F36" s="380">
        <v>142</v>
      </c>
      <c r="G36" s="380">
        <v>146</v>
      </c>
      <c r="H36" s="380">
        <v>175</v>
      </c>
      <c r="I36" s="380">
        <v>165</v>
      </c>
      <c r="J36" s="380">
        <v>150</v>
      </c>
      <c r="K36" s="380">
        <v>153</v>
      </c>
      <c r="L36" s="380">
        <v>175</v>
      </c>
      <c r="M36" s="380">
        <v>150</v>
      </c>
      <c r="N36" s="380">
        <v>156</v>
      </c>
      <c r="O36" s="289">
        <v>170</v>
      </c>
      <c r="P36" s="150">
        <f>SUM(D36:O36)</f>
        <v>1861</v>
      </c>
    </row>
    <row r="37" spans="1:16" ht="15.75" thickBot="1">
      <c r="A37" s="534"/>
      <c r="B37" s="529"/>
      <c r="C37" s="147" t="s">
        <v>145</v>
      </c>
      <c r="D37" s="381">
        <v>180</v>
      </c>
      <c r="E37" s="381">
        <v>180</v>
      </c>
      <c r="F37" s="381">
        <v>180</v>
      </c>
      <c r="G37" s="381">
        <v>180</v>
      </c>
      <c r="H37" s="381">
        <v>180</v>
      </c>
      <c r="I37" s="381">
        <v>180</v>
      </c>
      <c r="J37" s="381">
        <v>180</v>
      </c>
      <c r="K37" s="381">
        <v>180</v>
      </c>
      <c r="L37" s="381">
        <v>180</v>
      </c>
      <c r="M37" s="381">
        <v>180</v>
      </c>
      <c r="N37" s="381">
        <v>180</v>
      </c>
      <c r="O37" s="381">
        <v>180</v>
      </c>
      <c r="P37" s="116">
        <f>SUM(D37:O37)</f>
        <v>2160</v>
      </c>
    </row>
    <row r="38" spans="1:16" s="141" customFormat="1">
      <c r="A38" s="533" t="s">
        <v>256</v>
      </c>
      <c r="B38" s="525" t="s">
        <v>143</v>
      </c>
      <c r="C38" s="145" t="s">
        <v>144</v>
      </c>
      <c r="D38" s="380">
        <v>138</v>
      </c>
      <c r="E38" s="380">
        <v>152</v>
      </c>
      <c r="F38" s="380">
        <v>117</v>
      </c>
      <c r="G38" s="380">
        <v>129</v>
      </c>
      <c r="H38" s="380">
        <v>153</v>
      </c>
      <c r="I38" s="380">
        <v>140</v>
      </c>
      <c r="J38" s="380">
        <v>119</v>
      </c>
      <c r="K38" s="380">
        <v>140</v>
      </c>
      <c r="L38" s="380">
        <v>180</v>
      </c>
      <c r="M38" s="380">
        <v>144</v>
      </c>
      <c r="N38" s="380">
        <v>141</v>
      </c>
      <c r="O38" s="289">
        <v>138</v>
      </c>
      <c r="P38" s="150">
        <f>SUM(D38:O38)</f>
        <v>1691</v>
      </c>
    </row>
    <row r="39" spans="1:16" s="141" customFormat="1" ht="15.75" thickBot="1">
      <c r="A39" s="534"/>
      <c r="B39" s="529"/>
      <c r="C39" s="147" t="s">
        <v>145</v>
      </c>
      <c r="D39" s="381">
        <v>220</v>
      </c>
      <c r="E39" s="381">
        <v>220</v>
      </c>
      <c r="F39" s="381">
        <v>220</v>
      </c>
      <c r="G39" s="381">
        <v>220</v>
      </c>
      <c r="H39" s="381">
        <v>220</v>
      </c>
      <c r="I39" s="381">
        <v>220</v>
      </c>
      <c r="J39" s="381">
        <v>220</v>
      </c>
      <c r="K39" s="381">
        <v>220</v>
      </c>
      <c r="L39" s="381">
        <v>220</v>
      </c>
      <c r="M39" s="381">
        <v>220</v>
      </c>
      <c r="N39" s="381">
        <v>220</v>
      </c>
      <c r="O39" s="381">
        <v>220</v>
      </c>
      <c r="P39" s="116">
        <f>SUM(D39:O39)</f>
        <v>2640</v>
      </c>
    </row>
    <row r="41" spans="1:16">
      <c r="D41" s="141" t="s">
        <v>290</v>
      </c>
      <c r="E41" s="141" t="s">
        <v>291</v>
      </c>
      <c r="F41" s="141" t="s">
        <v>292</v>
      </c>
      <c r="G41" s="141" t="s">
        <v>293</v>
      </c>
    </row>
    <row r="42" spans="1:16">
      <c r="D42" s="365">
        <f>D14+E14+F14</f>
        <v>88220</v>
      </c>
      <c r="E42" s="365">
        <f>D20+E20+F20</f>
        <v>69233</v>
      </c>
      <c r="F42" s="365">
        <f>D24+E24+F24+D26+E26+F26</f>
        <v>30021</v>
      </c>
      <c r="G42" s="365">
        <f>D28+E28+F28</f>
        <v>25830</v>
      </c>
    </row>
    <row r="43" spans="1:16">
      <c r="D43" s="365">
        <f>G14+H14+I14</f>
        <v>108984</v>
      </c>
      <c r="E43" s="365">
        <f>G20+H20+I20</f>
        <v>83671</v>
      </c>
      <c r="F43" s="365">
        <f>G24+H24+I24+G26+H26+I26</f>
        <v>37948</v>
      </c>
      <c r="G43" s="365">
        <f>G28+H28+I28</f>
        <v>27768</v>
      </c>
    </row>
    <row r="44" spans="1:16">
      <c r="D44" s="365">
        <f>J14+K14+L14</f>
        <v>110653</v>
      </c>
      <c r="E44" s="365">
        <f>J20+K20+L20</f>
        <v>82725</v>
      </c>
      <c r="F44" s="365">
        <f>J24+K24+L24+J26+K26+L26</f>
        <v>35848</v>
      </c>
      <c r="G44" s="365">
        <f>J28+K28+L28</f>
        <v>25781</v>
      </c>
    </row>
    <row r="45" spans="1:16" s="141" customFormat="1">
      <c r="D45" s="365">
        <f>M14+N14+O14</f>
        <v>98029</v>
      </c>
      <c r="E45" s="365">
        <f>M20+N20+O20</f>
        <v>68955</v>
      </c>
      <c r="F45" s="365">
        <f>M24+N24+O24+M26+N26+O26</f>
        <v>35181</v>
      </c>
      <c r="G45" s="365">
        <f>M28+N28+O28</f>
        <v>28016</v>
      </c>
    </row>
    <row r="46" spans="1:16" s="141" customFormat="1"/>
    <row r="47" spans="1:16" s="141" customFormat="1"/>
    <row r="48" spans="1:16" s="141" customFormat="1">
      <c r="D48" s="283">
        <f>D17+E17+F17</f>
        <v>72802.37</v>
      </c>
      <c r="E48" s="283">
        <f>D23+E23+F23</f>
        <v>69893.63</v>
      </c>
      <c r="F48" s="283">
        <f>D25+E25+F25+D27+E27+F27</f>
        <v>26310.670000000002</v>
      </c>
      <c r="G48" s="283">
        <f>D29+E29+F29</f>
        <v>22170.559999999998</v>
      </c>
    </row>
    <row r="49" spans="4:16" s="141" customFormat="1">
      <c r="D49" s="283">
        <f>G17+H17+I17</f>
        <v>84976.57</v>
      </c>
      <c r="E49" s="283">
        <f>G23+H23+I23</f>
        <v>78984.549999999988</v>
      </c>
      <c r="F49" s="283">
        <f>G25+H25+I25+G27+H27+I27</f>
        <v>33470.17</v>
      </c>
      <c r="G49" s="283">
        <f>G29+H29+I29</f>
        <v>24049.9</v>
      </c>
    </row>
    <row r="50" spans="4:16" s="141" customFormat="1">
      <c r="D50" s="283">
        <f>J17+K17+L17</f>
        <v>88059.26999999999</v>
      </c>
      <c r="E50" s="283">
        <f>J23+K23+L23</f>
        <v>76743.64</v>
      </c>
      <c r="F50" s="283">
        <f>J25+K25+L25+J27+K27+L27</f>
        <v>32624.37</v>
      </c>
      <c r="G50" s="283">
        <f>J29+K29+L29</f>
        <v>23229.760000000002</v>
      </c>
    </row>
    <row r="51" spans="4:16" s="141" customFormat="1">
      <c r="D51" s="283">
        <f>M17+N17+O17</f>
        <v>79689.98</v>
      </c>
      <c r="E51" s="283">
        <f>M23+N23+O23</f>
        <v>68067.740000000005</v>
      </c>
      <c r="F51" s="283">
        <f>M25+N25+O25+M27+N27+O27</f>
        <v>32449.439999999999</v>
      </c>
      <c r="G51" s="283">
        <f>M29+N29+O29</f>
        <v>25193.83</v>
      </c>
    </row>
    <row r="52" spans="4:16" s="141" customFormat="1">
      <c r="M52" s="141">
        <f>1015659-956863</f>
        <v>58796</v>
      </c>
      <c r="O52" s="141">
        <f>1262930-956863</f>
        <v>306067</v>
      </c>
      <c r="P52" s="141">
        <f>962506.23-838716.45</f>
        <v>123789.78000000003</v>
      </c>
    </row>
    <row r="53" spans="4:16" s="141" customFormat="1">
      <c r="M53" s="507">
        <f>M52/1015659</f>
        <v>5.7889508191233473E-2</v>
      </c>
      <c r="O53" s="507">
        <f>O52/1262930</f>
        <v>0.24234676506219663</v>
      </c>
      <c r="P53" s="507">
        <f>P52/962506.23</f>
        <v>0.12861192597163765</v>
      </c>
    </row>
    <row r="54" spans="4:16" s="141" customFormat="1">
      <c r="D54" s="365">
        <f>SUM(D14:O14)</f>
        <v>405886</v>
      </c>
      <c r="E54" s="365">
        <f>SUM(D20:O20)</f>
        <v>304584</v>
      </c>
      <c r="F54" s="365">
        <f>SUM(D24:O24)+SUM(D26:O26)</f>
        <v>138998</v>
      </c>
      <c r="G54" s="365">
        <f>SUM(D28:O28)</f>
        <v>107395</v>
      </c>
    </row>
    <row r="55" spans="4:16" s="141" customFormat="1">
      <c r="D55" s="283">
        <f>SUM(D17:O17)</f>
        <v>325528.19000000006</v>
      </c>
      <c r="E55" s="283">
        <f>SUM(D23:O23)</f>
        <v>293689.56</v>
      </c>
      <c r="F55" s="283">
        <f>SUM(D25:O25)+SUM(D27:O27)</f>
        <v>124854.65000000001</v>
      </c>
      <c r="G55" s="283">
        <f>SUM(D29:O29)</f>
        <v>94644.05</v>
      </c>
    </row>
    <row r="56" spans="4:16" s="141" customFormat="1"/>
    <row r="57" spans="4:16" s="141" customFormat="1"/>
    <row r="58" spans="4:16">
      <c r="D58" s="365">
        <f>D14+D20+D24+D28+D26</f>
        <v>67099</v>
      </c>
      <c r="E58" s="365">
        <f>E14+E20+E24+E28+E26</f>
        <v>77699</v>
      </c>
      <c r="F58" s="365">
        <f>F14+F20+F24+F28+F26</f>
        <v>68506</v>
      </c>
      <c r="G58" s="365">
        <f t="shared" ref="G58:N58" si="3">G14+G20+G24+G28+G26</f>
        <v>80172</v>
      </c>
      <c r="H58" s="365">
        <f t="shared" si="3"/>
        <v>85764</v>
      </c>
      <c r="I58" s="365">
        <f t="shared" si="3"/>
        <v>92435</v>
      </c>
      <c r="J58" s="365">
        <f t="shared" si="3"/>
        <v>80746</v>
      </c>
      <c r="K58" s="365">
        <f t="shared" si="3"/>
        <v>79686</v>
      </c>
      <c r="L58" s="365">
        <f t="shared" si="3"/>
        <v>94575</v>
      </c>
      <c r="M58" s="365">
        <f t="shared" si="3"/>
        <v>77904</v>
      </c>
      <c r="N58" s="365">
        <f t="shared" si="3"/>
        <v>75666</v>
      </c>
      <c r="O58" s="365">
        <f>O14+O20+O24+O28+O26</f>
        <v>76611</v>
      </c>
      <c r="P58" s="365">
        <f>SUM(D58:O58)</f>
        <v>956863</v>
      </c>
    </row>
    <row r="59" spans="4:16">
      <c r="D59" s="283">
        <f>D17+D23+D25+D29+D27</f>
        <v>61695.97</v>
      </c>
      <c r="E59" s="283">
        <f>E17+E23+E25+E29+E27</f>
        <v>66831.28</v>
      </c>
      <c r="F59" s="283">
        <f>F17+F23+F25+F29+F27</f>
        <v>62649.979999999996</v>
      </c>
      <c r="G59" s="283">
        <f t="shared" ref="G59:N59" si="4">G17+G23+G25+G29+G27</f>
        <v>69155.759999999995</v>
      </c>
      <c r="H59" s="283">
        <f t="shared" si="4"/>
        <v>73349.929999999993</v>
      </c>
      <c r="I59" s="283">
        <f t="shared" si="4"/>
        <v>78975.5</v>
      </c>
      <c r="J59" s="283">
        <f t="shared" si="4"/>
        <v>71160.240000000005</v>
      </c>
      <c r="K59" s="283">
        <f t="shared" si="4"/>
        <v>70467.28</v>
      </c>
      <c r="L59" s="283">
        <f t="shared" si="4"/>
        <v>79029.51999999999</v>
      </c>
      <c r="M59" s="283">
        <f t="shared" si="4"/>
        <v>67893.98</v>
      </c>
      <c r="N59" s="283">
        <f t="shared" si="4"/>
        <v>69399.13</v>
      </c>
      <c r="O59" s="283">
        <f>O17+O23+O25+O29+O27</f>
        <v>68107.88</v>
      </c>
      <c r="P59" s="283">
        <f>SUM(D59:O59)</f>
        <v>838716.45</v>
      </c>
    </row>
  </sheetData>
  <protectedRanges>
    <protectedRange sqref="L36:O36 N28:O29 L12:O13 D36:I36 D12:D19 F12:F13 I12:I13 I18:I19 D29:E29 D28:J28 L23:O23 K18 D26:O27 F15:F19 D21:D23 I21:I23 F21:F23 D39:O39 L38:O38 D38:I38 D37:O37 K12 D20:L20 K21 K15 L17:L18 E14:O14 D24:K25 M24:O25 L21:L22 M15:O22" name="Intervalo1" securityDescriptor="O:WDG:WDD:(A;;CC;;;WD)"/>
    <protectedRange sqref="J12:J13 M14:O14 J15:J19 J21:J23 M20:O20" name="Intervalo1_1" securityDescriptor="O:WDG:WDD:(A;;CC;;;WD)"/>
    <protectedRange sqref="J36 J38" name="Intervalo1_2" securityDescriptor="O:WDG:WDD:(A;;CC;;;WD)"/>
    <protectedRange sqref="K16:K17 K22:K23 K19 K13" name="Intervalo1_3" securityDescriptor="O:WDG:WDD:(A;;CC;;;WD)"/>
    <protectedRange sqref="K36 K38" name="Intervalo1_4" securityDescriptor="O:WDG:WDD:(A;;CC;;;WD)"/>
    <protectedRange sqref="K28:L29 L24:L25" name="Intervalo1_5" securityDescriptor="O:WDG:WDD:(A;;CC;;;WD)"/>
    <protectedRange sqref="M28:M29" name="Intervalo1_6" securityDescriptor="O:WDG:WDD:(A;;CC;;;WD)"/>
    <protectedRange sqref="E12:E13 E15:E19 E21:E23" name="Intervalo1_7" securityDescriptor="O:WDG:WDD:(A;;CC;;;WD)"/>
    <protectedRange sqref="G12:G13 G15:G19 H21 G21:G23" name="Intervalo1_8" securityDescriptor="O:WDG:WDD:(A;;CC;;;WD)"/>
    <protectedRange sqref="H12:H13 H15:H19 H22:H23" name="Intervalo1_9" securityDescriptor="O:WDG:WDD:(A;;CC;;;WD)"/>
  </protectedRanges>
  <customSheetViews>
    <customSheetView guid="{DFED14A5-FC7F-4CB0-A970-C00E731629C6}" scale="85">
      <pageMargins left="0.511811024" right="0.511811024" top="0.78740157499999996" bottom="0.78740157499999996" header="0.31496062000000002" footer="0.31496062000000002"/>
    </customSheetView>
  </customSheetViews>
  <mergeCells count="17">
    <mergeCell ref="A38:A39"/>
    <mergeCell ref="B38:B39"/>
    <mergeCell ref="A35:C35"/>
    <mergeCell ref="B36:B37"/>
    <mergeCell ref="A36:A37"/>
    <mergeCell ref="A24:A25"/>
    <mergeCell ref="A28:A29"/>
    <mergeCell ref="A18:A23"/>
    <mergeCell ref="B18:B20"/>
    <mergeCell ref="B21:B23"/>
    <mergeCell ref="A26:A27"/>
    <mergeCell ref="A12:A17"/>
    <mergeCell ref="B12:B14"/>
    <mergeCell ref="B1:L2"/>
    <mergeCell ref="B3:L4"/>
    <mergeCell ref="B15:B17"/>
    <mergeCell ref="A11:C1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40"/>
  <sheetViews>
    <sheetView zoomScale="85" zoomScaleNormal="85" workbookViewId="0">
      <selection activeCell="O32" sqref="O32"/>
    </sheetView>
  </sheetViews>
  <sheetFormatPr defaultColWidth="9.140625" defaultRowHeight="15"/>
  <cols>
    <col min="1" max="1" width="29.42578125" style="1" customWidth="1"/>
    <col min="2" max="2" width="20" style="1" customWidth="1"/>
    <col min="3" max="14" width="17.7109375" style="1" customWidth="1"/>
    <col min="15" max="15" width="20.140625" style="1" customWidth="1"/>
    <col min="16" max="16384" width="9.140625" style="1"/>
  </cols>
  <sheetData>
    <row r="1" spans="1:15" ht="15" customHeight="1">
      <c r="D1" s="511" t="s">
        <v>0</v>
      </c>
      <c r="E1" s="511"/>
      <c r="F1" s="511"/>
      <c r="G1" s="511"/>
      <c r="H1" s="511"/>
      <c r="I1" s="511"/>
      <c r="J1" s="511"/>
    </row>
    <row r="2" spans="1:15" ht="15" customHeight="1">
      <c r="D2" s="511"/>
      <c r="E2" s="511"/>
      <c r="F2" s="511"/>
      <c r="G2" s="511"/>
      <c r="H2" s="511"/>
      <c r="I2" s="511"/>
      <c r="J2" s="511"/>
    </row>
    <row r="3" spans="1:15">
      <c r="D3" s="512" t="s">
        <v>70</v>
      </c>
      <c r="E3" s="512"/>
      <c r="F3" s="512"/>
      <c r="G3" s="512"/>
      <c r="H3" s="512"/>
      <c r="I3" s="512"/>
      <c r="J3" s="512"/>
    </row>
    <row r="4" spans="1:15">
      <c r="D4" s="512"/>
      <c r="E4" s="512"/>
      <c r="F4" s="512"/>
      <c r="G4" s="512"/>
      <c r="H4" s="512"/>
      <c r="I4" s="512"/>
      <c r="J4" s="512"/>
    </row>
    <row r="5" spans="1:15" ht="6.75" customHeight="1"/>
    <row r="6" spans="1:15">
      <c r="A6" s="31" t="s">
        <v>1</v>
      </c>
      <c r="B6" s="31"/>
    </row>
    <row r="7" spans="1:15">
      <c r="A7" s="31" t="s">
        <v>65</v>
      </c>
      <c r="B7" s="31"/>
    </row>
    <row r="8" spans="1:15">
      <c r="A8" s="31" t="s">
        <v>66</v>
      </c>
      <c r="B8" s="31"/>
    </row>
    <row r="9" spans="1:15">
      <c r="A9" s="31" t="s">
        <v>67</v>
      </c>
      <c r="B9" s="31"/>
    </row>
    <row r="10" spans="1:15" ht="15.75" thickBot="1">
      <c r="A10" s="31" t="s">
        <v>68</v>
      </c>
      <c r="B10" s="31"/>
    </row>
    <row r="11" spans="1:15" ht="30.75" thickBot="1">
      <c r="A11" s="536" t="s">
        <v>4</v>
      </c>
      <c r="B11" s="537"/>
      <c r="C11" s="368">
        <v>43466</v>
      </c>
      <c r="D11" s="368">
        <v>43497</v>
      </c>
      <c r="E11" s="368">
        <v>43525</v>
      </c>
      <c r="F11" s="368">
        <v>43556</v>
      </c>
      <c r="G11" s="368">
        <v>43586</v>
      </c>
      <c r="H11" s="368">
        <v>43617</v>
      </c>
      <c r="I11" s="368">
        <v>43647</v>
      </c>
      <c r="J11" s="368">
        <v>43678</v>
      </c>
      <c r="K11" s="368">
        <v>43709</v>
      </c>
      <c r="L11" s="368">
        <v>43739</v>
      </c>
      <c r="M11" s="368">
        <v>43770</v>
      </c>
      <c r="N11" s="368">
        <v>43800</v>
      </c>
      <c r="O11" s="78" t="s">
        <v>299</v>
      </c>
    </row>
    <row r="12" spans="1:15" ht="16.5" customHeight="1">
      <c r="A12" s="535" t="s">
        <v>6</v>
      </c>
      <c r="B12" s="124" t="s">
        <v>69</v>
      </c>
      <c r="C12" s="256">
        <v>309</v>
      </c>
      <c r="D12" s="349">
        <v>314</v>
      </c>
      <c r="E12" s="90">
        <v>287</v>
      </c>
      <c r="F12" s="90">
        <v>196</v>
      </c>
      <c r="G12" s="335">
        <v>1041</v>
      </c>
      <c r="H12" s="90">
        <v>408</v>
      </c>
      <c r="I12" s="90">
        <v>542</v>
      </c>
      <c r="J12" s="352">
        <f>193+173+205</f>
        <v>571</v>
      </c>
      <c r="K12" s="90">
        <v>447</v>
      </c>
      <c r="L12" s="90">
        <v>406</v>
      </c>
      <c r="M12" s="90">
        <v>458</v>
      </c>
      <c r="N12" s="123">
        <v>414</v>
      </c>
      <c r="O12" s="112">
        <f>SUM(C12:N12)</f>
        <v>5393</v>
      </c>
    </row>
    <row r="13" spans="1:15" ht="16.5" customHeight="1" thickBot="1">
      <c r="A13" s="534"/>
      <c r="B13" s="125" t="s">
        <v>147</v>
      </c>
      <c r="C13" s="257">
        <v>6054.64</v>
      </c>
      <c r="D13" s="336">
        <v>6157.48</v>
      </c>
      <c r="E13" s="126">
        <v>5602.04</v>
      </c>
      <c r="F13" s="126">
        <v>3730.21</v>
      </c>
      <c r="G13" s="336">
        <v>11712</v>
      </c>
      <c r="H13" s="126">
        <v>8091.06</v>
      </c>
      <c r="I13" s="126">
        <v>10847.46</v>
      </c>
      <c r="J13" s="353">
        <f>2149.71+1719.8+1921.15+1536.95+2286.84+1829.51</f>
        <v>11443.960000000001</v>
      </c>
      <c r="K13" s="126">
        <v>8893.25</v>
      </c>
      <c r="L13" s="126">
        <v>8049.92</v>
      </c>
      <c r="M13" s="126">
        <v>9119.56</v>
      </c>
      <c r="N13" s="127">
        <v>8214.49</v>
      </c>
      <c r="O13" s="108">
        <f t="shared" ref="O13:O19" si="0">SUM(C13:N13)</f>
        <v>97916.069999999992</v>
      </c>
    </row>
    <row r="14" spans="1:15" ht="16.5" customHeight="1">
      <c r="A14" s="533" t="s">
        <v>297</v>
      </c>
      <c r="B14" s="124" t="s">
        <v>69</v>
      </c>
      <c r="C14" s="90">
        <v>21</v>
      </c>
      <c r="D14" s="349">
        <v>69</v>
      </c>
      <c r="E14" s="90">
        <v>15</v>
      </c>
      <c r="F14" s="90">
        <v>35</v>
      </c>
      <c r="G14" s="90">
        <v>48</v>
      </c>
      <c r="H14" s="90">
        <v>43</v>
      </c>
      <c r="I14" s="90">
        <v>36</v>
      </c>
      <c r="J14" s="90">
        <v>45</v>
      </c>
      <c r="K14" s="90">
        <v>47</v>
      </c>
      <c r="L14" s="90">
        <v>60</v>
      </c>
      <c r="M14" s="90">
        <v>39</v>
      </c>
      <c r="N14" s="123">
        <v>43</v>
      </c>
      <c r="O14" s="112">
        <f t="shared" si="0"/>
        <v>501</v>
      </c>
    </row>
    <row r="15" spans="1:15" ht="16.5" customHeight="1" thickBot="1">
      <c r="A15" s="534"/>
      <c r="B15" s="125" t="s">
        <v>147</v>
      </c>
      <c r="C15" s="128">
        <v>184.15</v>
      </c>
      <c r="D15" s="128">
        <v>732.68</v>
      </c>
      <c r="E15" s="128">
        <v>130.22999999999999</v>
      </c>
      <c r="F15" s="128">
        <v>349.3</v>
      </c>
      <c r="G15" s="128">
        <v>886.85</v>
      </c>
      <c r="H15" s="128">
        <v>784.01</v>
      </c>
      <c r="I15" s="128">
        <v>641.53</v>
      </c>
      <c r="J15" s="128">
        <v>825.14</v>
      </c>
      <c r="K15" s="128">
        <v>866.29</v>
      </c>
      <c r="L15" s="128">
        <v>1133.7</v>
      </c>
      <c r="M15" s="128">
        <v>701.72</v>
      </c>
      <c r="N15" s="129">
        <v>784.01</v>
      </c>
      <c r="O15" s="108">
        <f t="shared" si="0"/>
        <v>8019.6100000000006</v>
      </c>
    </row>
    <row r="16" spans="1:15" s="141" customFormat="1" ht="16.5" customHeight="1">
      <c r="A16" s="533" t="s">
        <v>298</v>
      </c>
      <c r="B16" s="124" t="s">
        <v>69</v>
      </c>
      <c r="C16" s="349">
        <v>15</v>
      </c>
      <c r="D16" s="349">
        <v>15</v>
      </c>
      <c r="E16" s="349">
        <v>15</v>
      </c>
      <c r="F16" s="349">
        <v>15</v>
      </c>
      <c r="G16" s="349">
        <v>15</v>
      </c>
      <c r="H16" s="349">
        <v>15</v>
      </c>
      <c r="I16" s="349">
        <v>18</v>
      </c>
      <c r="J16" s="349">
        <v>15</v>
      </c>
      <c r="K16" s="349">
        <v>15</v>
      </c>
      <c r="L16" s="349">
        <v>15</v>
      </c>
      <c r="M16" s="349">
        <v>15</v>
      </c>
      <c r="N16" s="123">
        <v>15</v>
      </c>
      <c r="O16" s="150">
        <f>SUM(C16:N16)</f>
        <v>183</v>
      </c>
    </row>
    <row r="17" spans="1:16" s="141" customFormat="1" ht="16.5" customHeight="1" thickBot="1">
      <c r="A17" s="534"/>
      <c r="B17" s="125" t="s">
        <v>147</v>
      </c>
      <c r="C17" s="128">
        <v>208.04</v>
      </c>
      <c r="D17" s="128">
        <v>208.04</v>
      </c>
      <c r="E17" s="128">
        <v>208.04</v>
      </c>
      <c r="F17" s="128">
        <v>208.04</v>
      </c>
      <c r="G17" s="128">
        <v>208.04</v>
      </c>
      <c r="H17" s="128">
        <v>208.04</v>
      </c>
      <c r="I17" s="128">
        <v>269.75</v>
      </c>
      <c r="J17" s="128">
        <v>208.04</v>
      </c>
      <c r="K17" s="128">
        <v>208.04</v>
      </c>
      <c r="L17" s="128">
        <v>208.04</v>
      </c>
      <c r="M17" s="128">
        <v>208.04</v>
      </c>
      <c r="N17" s="129">
        <v>208.04</v>
      </c>
      <c r="O17" s="273">
        <f>SUM(C17:N17)</f>
        <v>2558.19</v>
      </c>
    </row>
    <row r="18" spans="1:16" ht="16.5" customHeight="1">
      <c r="A18" s="535" t="s">
        <v>15</v>
      </c>
      <c r="B18" s="124" t="s">
        <v>69</v>
      </c>
      <c r="C18" s="275">
        <v>15</v>
      </c>
      <c r="D18" s="349">
        <v>15</v>
      </c>
      <c r="E18" s="349">
        <v>15</v>
      </c>
      <c r="F18" s="349">
        <v>17</v>
      </c>
      <c r="G18" s="349">
        <v>21</v>
      </c>
      <c r="H18" s="349">
        <v>25</v>
      </c>
      <c r="I18" s="90">
        <v>31</v>
      </c>
      <c r="J18" s="352">
        <v>29</v>
      </c>
      <c r="K18" s="90">
        <v>26</v>
      </c>
      <c r="L18" s="352">
        <v>23</v>
      </c>
      <c r="M18" s="90">
        <v>24</v>
      </c>
      <c r="N18" s="123">
        <v>25</v>
      </c>
      <c r="O18" s="112">
        <f t="shared" si="0"/>
        <v>266</v>
      </c>
    </row>
    <row r="19" spans="1:16" ht="16.5" customHeight="1" thickBot="1">
      <c r="A19" s="534"/>
      <c r="B19" s="125" t="s">
        <v>147</v>
      </c>
      <c r="C19" s="276">
        <v>208.04</v>
      </c>
      <c r="D19" s="336">
        <v>208.04</v>
      </c>
      <c r="E19" s="336">
        <v>208.04</v>
      </c>
      <c r="F19" s="336">
        <v>249.19</v>
      </c>
      <c r="G19" s="336">
        <v>331.47</v>
      </c>
      <c r="H19" s="336">
        <v>413.75</v>
      </c>
      <c r="I19" s="126">
        <v>537.16</v>
      </c>
      <c r="J19" s="353">
        <v>496.03</v>
      </c>
      <c r="K19" s="126">
        <v>434.34</v>
      </c>
      <c r="L19" s="353">
        <v>372.6</v>
      </c>
      <c r="M19" s="126">
        <v>393.18</v>
      </c>
      <c r="N19" s="127">
        <v>413.75</v>
      </c>
      <c r="O19" s="108">
        <f t="shared" si="0"/>
        <v>4265.59</v>
      </c>
    </row>
    <row r="20" spans="1:16" ht="6" customHeight="1"/>
    <row r="21" spans="1:16">
      <c r="A21" s="31"/>
      <c r="B21" s="31"/>
    </row>
    <row r="23" spans="1:16">
      <c r="C23" s="365">
        <f t="shared" ref="C23:H24" si="1">C12+C14+C18+C16</f>
        <v>360</v>
      </c>
      <c r="D23" s="365">
        <f t="shared" si="1"/>
        <v>413</v>
      </c>
      <c r="E23" s="365">
        <f t="shared" si="1"/>
        <v>332</v>
      </c>
      <c r="F23" s="365">
        <f t="shared" si="1"/>
        <v>263</v>
      </c>
      <c r="G23" s="365">
        <f t="shared" si="1"/>
        <v>1125</v>
      </c>
      <c r="H23" s="365">
        <f t="shared" si="1"/>
        <v>491</v>
      </c>
      <c r="I23" s="365">
        <f t="shared" ref="I23:N23" si="2">I12+I14+I18+I16</f>
        <v>627</v>
      </c>
      <c r="J23" s="365">
        <f t="shared" si="2"/>
        <v>660</v>
      </c>
      <c r="K23" s="365">
        <f t="shared" si="2"/>
        <v>535</v>
      </c>
      <c r="L23" s="365">
        <f t="shared" si="2"/>
        <v>504</v>
      </c>
      <c r="M23" s="365">
        <f t="shared" si="2"/>
        <v>536</v>
      </c>
      <c r="N23" s="365">
        <f t="shared" si="2"/>
        <v>497</v>
      </c>
      <c r="O23" s="365">
        <f>O12+O14+O18</f>
        <v>6160</v>
      </c>
    </row>
    <row r="24" spans="1:16">
      <c r="C24" s="283">
        <f t="shared" si="1"/>
        <v>6654.87</v>
      </c>
      <c r="D24" s="283">
        <f t="shared" si="1"/>
        <v>7306.24</v>
      </c>
      <c r="E24" s="283">
        <f t="shared" si="1"/>
        <v>6148.3499999999995</v>
      </c>
      <c r="F24" s="283">
        <f t="shared" si="1"/>
        <v>4536.74</v>
      </c>
      <c r="G24" s="283">
        <f t="shared" si="1"/>
        <v>13138.36</v>
      </c>
      <c r="H24" s="283">
        <f t="shared" si="1"/>
        <v>9496.86</v>
      </c>
      <c r="I24" s="283">
        <f t="shared" ref="I24:N24" si="3">I13+I15+I19+I17</f>
        <v>12295.9</v>
      </c>
      <c r="J24" s="283">
        <f t="shared" si="3"/>
        <v>12973.170000000002</v>
      </c>
      <c r="K24" s="283">
        <f t="shared" si="3"/>
        <v>10401.920000000002</v>
      </c>
      <c r="L24" s="283">
        <f t="shared" si="3"/>
        <v>9764.260000000002</v>
      </c>
      <c r="M24" s="283">
        <f t="shared" si="3"/>
        <v>10422.5</v>
      </c>
      <c r="N24" s="283">
        <f t="shared" si="3"/>
        <v>9620.2900000000009</v>
      </c>
      <c r="O24" s="283">
        <f>O13+O15+O19</f>
        <v>110201.26999999999</v>
      </c>
    </row>
    <row r="27" spans="1:16">
      <c r="C27" s="365">
        <f>C12+D12+E12</f>
        <v>910</v>
      </c>
      <c r="D27" s="365">
        <f>C14+D14+E14+C16+D16+E16</f>
        <v>150</v>
      </c>
      <c r="E27" s="365">
        <f>C18+D18+E18</f>
        <v>45</v>
      </c>
      <c r="F27" s="365"/>
    </row>
    <row r="28" spans="1:16">
      <c r="C28" s="365">
        <f>F12+G12+H12</f>
        <v>1645</v>
      </c>
      <c r="D28" s="365">
        <f>F14+G14+H14+F16+G16+H16</f>
        <v>171</v>
      </c>
      <c r="E28" s="365">
        <f>F18+G18+H18</f>
        <v>63</v>
      </c>
      <c r="F28" s="365"/>
      <c r="L28" s="1">
        <f>7815-6160</f>
        <v>1655</v>
      </c>
      <c r="M28" s="1">
        <f>5863-6160</f>
        <v>-297</v>
      </c>
      <c r="O28" s="1">
        <f>93091.4-107667.6</f>
        <v>-14576.200000000012</v>
      </c>
      <c r="P28" s="141">
        <f>93091.4-110201.27</f>
        <v>-17109.87000000001</v>
      </c>
    </row>
    <row r="29" spans="1:16">
      <c r="C29" s="365">
        <f>I12+J12+K12</f>
        <v>1560</v>
      </c>
      <c r="D29" s="365">
        <f>I14+J14+K14+I16+J16+K16</f>
        <v>176</v>
      </c>
      <c r="E29" s="365">
        <f>L14+M14+N14</f>
        <v>142</v>
      </c>
      <c r="L29" s="507">
        <f>L28/7815</f>
        <v>0.21177223288547664</v>
      </c>
      <c r="M29" s="507">
        <f>M28/5863</f>
        <v>-5.0656660412757973E-2</v>
      </c>
      <c r="O29" s="507">
        <f>O28/93091.4</f>
        <v>-0.15657944772556878</v>
      </c>
      <c r="P29" s="507">
        <f>P28/93091.4</f>
        <v>-0.18379646240146794</v>
      </c>
    </row>
    <row r="30" spans="1:16">
      <c r="C30" s="365">
        <f>L12+M12+N12</f>
        <v>1278</v>
      </c>
      <c r="D30" s="365">
        <f>L14+M14+N14+L16+M16+N16</f>
        <v>187</v>
      </c>
      <c r="E30" s="365">
        <f>L18+M18+N18</f>
        <v>72</v>
      </c>
    </row>
    <row r="32" spans="1:16">
      <c r="C32" s="365">
        <f>SUM(C27:C31)</f>
        <v>5393</v>
      </c>
      <c r="D32" s="365">
        <f>SUM(D27:D31)</f>
        <v>684</v>
      </c>
      <c r="E32" s="365">
        <f>SUM(E27:E31)</f>
        <v>322</v>
      </c>
    </row>
    <row r="35" spans="3:5">
      <c r="C35" s="283">
        <f>C13+D13+E13</f>
        <v>17814.16</v>
      </c>
      <c r="D35" s="283">
        <f>C15+D15+E15+C17+D17+E17</f>
        <v>1671.1799999999998</v>
      </c>
      <c r="E35" s="283">
        <f>C19+D19+E19</f>
        <v>624.12</v>
      </c>
    </row>
    <row r="36" spans="3:5">
      <c r="C36" s="283">
        <f>F13+G13+H13</f>
        <v>23533.27</v>
      </c>
      <c r="D36" s="283">
        <f>F15+G15+H15+F17+G17+H17</f>
        <v>2644.28</v>
      </c>
      <c r="E36" s="283">
        <f>F19+G19+H19</f>
        <v>994.41000000000008</v>
      </c>
    </row>
    <row r="37" spans="3:5">
      <c r="C37" s="283">
        <f>I13+J13+K13</f>
        <v>31184.67</v>
      </c>
      <c r="D37" s="283">
        <f>I15+J15+K15+I17+J17+K17</f>
        <v>3018.79</v>
      </c>
      <c r="E37" s="283">
        <f>I19+J19+K19</f>
        <v>1467.53</v>
      </c>
    </row>
    <row r="38" spans="3:5">
      <c r="C38" s="283">
        <f>L13+M13+N13</f>
        <v>25383.97</v>
      </c>
      <c r="D38" s="283">
        <f>L15+M15+N15+L17+M17+N17</f>
        <v>3243.55</v>
      </c>
      <c r="E38" s="283">
        <f>L19+M19+N19</f>
        <v>1179.53</v>
      </c>
    </row>
    <row r="40" spans="3:5">
      <c r="C40" s="283">
        <f>SUM(C35:C39)</f>
        <v>97916.07</v>
      </c>
      <c r="D40" s="283">
        <f>SUM(D35:D39)</f>
        <v>10577.8</v>
      </c>
      <c r="E40" s="283">
        <f>SUM(E35:E39)</f>
        <v>4265.59</v>
      </c>
    </row>
  </sheetData>
  <protectedRanges>
    <protectedRange sqref="C12:C13 E12:N13 I18:N19 C14:N17" name="Intervalo2" securityDescriptor="O:WDG:WDD:(A;;CC;;;WD)"/>
    <protectedRange sqref="D12:D13" name="Intervalo2_1" securityDescriptor="O:WDG:WDD:(A;;CC;;;WD)"/>
  </protectedRanges>
  <customSheetViews>
    <customSheetView guid="{DFED14A5-FC7F-4CB0-A970-C00E731629C6}" scale="85">
      <selection activeCell="B13" sqref="B13"/>
      <pageMargins left="0.511811024" right="0.511811024" top="0.78740157499999996" bottom="0.78740157499999996" header="0.31496062000000002" footer="0.31496062000000002"/>
    </customSheetView>
  </customSheetViews>
  <mergeCells count="7">
    <mergeCell ref="A12:A13"/>
    <mergeCell ref="A14:A15"/>
    <mergeCell ref="A18:A19"/>
    <mergeCell ref="A11:B11"/>
    <mergeCell ref="D1:J2"/>
    <mergeCell ref="D3:J4"/>
    <mergeCell ref="A16:A17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Y56"/>
  <sheetViews>
    <sheetView topLeftCell="A13" zoomScale="85" zoomScaleNormal="85" workbookViewId="0">
      <selection activeCell="L51" sqref="L51"/>
    </sheetView>
  </sheetViews>
  <sheetFormatPr defaultColWidth="9.140625" defaultRowHeight="15"/>
  <cols>
    <col min="1" max="1" width="29" style="1" customWidth="1"/>
    <col min="2" max="2" width="27.7109375" style="1" customWidth="1"/>
    <col min="3" max="3" width="19.42578125" style="1" customWidth="1"/>
    <col min="4" max="8" width="18.140625" style="1" customWidth="1"/>
    <col min="9" max="9" width="18.7109375" style="1" customWidth="1"/>
    <col min="10" max="15" width="17.85546875" style="1" customWidth="1"/>
    <col min="16" max="16" width="18.7109375" style="1" customWidth="1"/>
    <col min="17" max="29" width="13.85546875" style="1" customWidth="1"/>
    <col min="30" max="16384" width="9.140625" style="1"/>
  </cols>
  <sheetData>
    <row r="1" spans="1:25" ht="15" customHeight="1">
      <c r="C1" s="511" t="s">
        <v>0</v>
      </c>
      <c r="D1" s="511"/>
      <c r="E1" s="511"/>
      <c r="F1" s="511"/>
      <c r="G1" s="511"/>
      <c r="H1" s="511"/>
      <c r="I1" s="511"/>
      <c r="J1" s="511"/>
      <c r="K1" s="511"/>
      <c r="L1" s="511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" customHeight="1"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>
      <c r="C3" s="512" t="s">
        <v>71</v>
      </c>
      <c r="D3" s="512"/>
      <c r="E3" s="512"/>
      <c r="F3" s="512"/>
      <c r="G3" s="512"/>
      <c r="H3" s="512"/>
      <c r="I3" s="512"/>
      <c r="J3" s="512"/>
      <c r="K3" s="512"/>
      <c r="L3" s="512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6.75" customHeight="1"/>
    <row r="6" spans="1:25">
      <c r="A6" s="31" t="s">
        <v>1</v>
      </c>
    </row>
    <row r="7" spans="1:25">
      <c r="A7" s="31" t="s">
        <v>72</v>
      </c>
    </row>
    <row r="8" spans="1:25">
      <c r="A8" s="31" t="s">
        <v>73</v>
      </c>
    </row>
    <row r="9" spans="1:25">
      <c r="A9" s="31" t="s">
        <v>74</v>
      </c>
    </row>
    <row r="10" spans="1:25">
      <c r="A10" s="31" t="s">
        <v>75</v>
      </c>
    </row>
    <row r="11" spans="1:25">
      <c r="A11" s="31" t="s">
        <v>76</v>
      </c>
    </row>
    <row r="12" spans="1:25">
      <c r="A12" s="31" t="s">
        <v>77</v>
      </c>
    </row>
    <row r="13" spans="1:25">
      <c r="A13" s="31" t="s">
        <v>78</v>
      </c>
    </row>
    <row r="14" spans="1:25">
      <c r="A14" s="31" t="s">
        <v>79</v>
      </c>
    </row>
    <row r="15" spans="1:25">
      <c r="A15" s="31" t="s">
        <v>80</v>
      </c>
    </row>
    <row r="16" spans="1:25" ht="15.75" thickBot="1">
      <c r="A16" s="31" t="s">
        <v>93</v>
      </c>
    </row>
    <row r="17" spans="1:16" ht="45.75" thickBot="1">
      <c r="A17" s="68" t="s">
        <v>4</v>
      </c>
      <c r="B17" s="70" t="s">
        <v>90</v>
      </c>
      <c r="C17" s="369">
        <v>43466</v>
      </c>
      <c r="D17" s="369">
        <v>43497</v>
      </c>
      <c r="E17" s="369">
        <v>43525</v>
      </c>
      <c r="F17" s="369">
        <v>43556</v>
      </c>
      <c r="G17" s="369">
        <v>43586</v>
      </c>
      <c r="H17" s="369">
        <v>43617</v>
      </c>
      <c r="I17" s="369">
        <v>43647</v>
      </c>
      <c r="J17" s="369">
        <v>43678</v>
      </c>
      <c r="K17" s="369">
        <v>43709</v>
      </c>
      <c r="L17" s="369">
        <v>43739</v>
      </c>
      <c r="M17" s="369">
        <v>43770</v>
      </c>
      <c r="N17" s="369">
        <v>43800</v>
      </c>
      <c r="O17" s="77" t="s">
        <v>299</v>
      </c>
      <c r="P17" s="69"/>
    </row>
    <row r="18" spans="1:16">
      <c r="A18" s="538" t="s">
        <v>6</v>
      </c>
      <c r="B18" s="71" t="s">
        <v>81</v>
      </c>
      <c r="C18" s="436">
        <v>460</v>
      </c>
      <c r="D18" s="436">
        <v>0</v>
      </c>
      <c r="E18" s="436">
        <v>60</v>
      </c>
      <c r="F18" s="437">
        <v>110</v>
      </c>
      <c r="G18" s="436">
        <v>60</v>
      </c>
      <c r="H18" s="438">
        <v>0</v>
      </c>
      <c r="I18" s="320">
        <v>55</v>
      </c>
      <c r="J18" s="331">
        <v>30</v>
      </c>
      <c r="K18" s="320">
        <v>0</v>
      </c>
      <c r="L18" s="320">
        <v>100</v>
      </c>
      <c r="M18" s="320">
        <v>0</v>
      </c>
      <c r="N18" s="320">
        <v>1860</v>
      </c>
      <c r="O18" s="467">
        <f>SUM(C18:N18)</f>
        <v>2735</v>
      </c>
    </row>
    <row r="19" spans="1:16">
      <c r="A19" s="523"/>
      <c r="B19" s="3" t="s">
        <v>82</v>
      </c>
      <c r="C19" s="371" t="s">
        <v>289</v>
      </c>
      <c r="D19" s="371" t="s">
        <v>289</v>
      </c>
      <c r="E19" s="371" t="s">
        <v>289</v>
      </c>
      <c r="F19" s="371" t="s">
        <v>289</v>
      </c>
      <c r="G19" s="371" t="s">
        <v>289</v>
      </c>
      <c r="H19" s="371" t="s">
        <v>289</v>
      </c>
      <c r="I19" s="371" t="s">
        <v>289</v>
      </c>
      <c r="J19" s="371" t="s">
        <v>289</v>
      </c>
      <c r="K19" s="371" t="s">
        <v>289</v>
      </c>
      <c r="L19" s="371" t="s">
        <v>289</v>
      </c>
      <c r="M19" s="371" t="s">
        <v>289</v>
      </c>
      <c r="N19" s="371" t="s">
        <v>289</v>
      </c>
      <c r="O19" s="321">
        <f t="shared" ref="O19:O44" si="0">SUM(C19:N19)</f>
        <v>0</v>
      </c>
    </row>
    <row r="20" spans="1:16">
      <c r="A20" s="523"/>
      <c r="B20" s="3" t="s">
        <v>83</v>
      </c>
      <c r="C20" s="371" t="s">
        <v>289</v>
      </c>
      <c r="D20" s="371" t="s">
        <v>289</v>
      </c>
      <c r="E20" s="371" t="s">
        <v>289</v>
      </c>
      <c r="F20" s="371" t="s">
        <v>289</v>
      </c>
      <c r="G20" s="371" t="s">
        <v>289</v>
      </c>
      <c r="H20" s="371" t="s">
        <v>289</v>
      </c>
      <c r="I20" s="371" t="s">
        <v>289</v>
      </c>
      <c r="J20" s="371" t="s">
        <v>289</v>
      </c>
      <c r="K20" s="371" t="s">
        <v>289</v>
      </c>
      <c r="L20" s="371" t="s">
        <v>289</v>
      </c>
      <c r="M20" s="371" t="s">
        <v>289</v>
      </c>
      <c r="N20" s="371" t="s">
        <v>289</v>
      </c>
      <c r="O20" s="321">
        <f t="shared" si="0"/>
        <v>0</v>
      </c>
    </row>
    <row r="21" spans="1:16">
      <c r="A21" s="523"/>
      <c r="B21" s="3" t="s">
        <v>84</v>
      </c>
      <c r="C21" s="371" t="s">
        <v>289</v>
      </c>
      <c r="D21" s="371" t="s">
        <v>289</v>
      </c>
      <c r="E21" s="371" t="s">
        <v>289</v>
      </c>
      <c r="F21" s="371" t="s">
        <v>289</v>
      </c>
      <c r="G21" s="371" t="s">
        <v>289</v>
      </c>
      <c r="H21" s="371" t="s">
        <v>289</v>
      </c>
      <c r="I21" s="371" t="s">
        <v>289</v>
      </c>
      <c r="J21" s="371" t="s">
        <v>289</v>
      </c>
      <c r="K21" s="371" t="s">
        <v>289</v>
      </c>
      <c r="L21" s="371" t="s">
        <v>289</v>
      </c>
      <c r="M21" s="371" t="s">
        <v>289</v>
      </c>
      <c r="N21" s="371" t="s">
        <v>289</v>
      </c>
      <c r="O21" s="321">
        <f t="shared" si="0"/>
        <v>0</v>
      </c>
    </row>
    <row r="22" spans="1:16">
      <c r="A22" s="523"/>
      <c r="B22" s="3" t="s">
        <v>85</v>
      </c>
      <c r="C22" s="371" t="s">
        <v>289</v>
      </c>
      <c r="D22" s="371" t="s">
        <v>289</v>
      </c>
      <c r="E22" s="371" t="s">
        <v>289</v>
      </c>
      <c r="F22" s="371" t="s">
        <v>289</v>
      </c>
      <c r="G22" s="371" t="s">
        <v>289</v>
      </c>
      <c r="H22" s="371" t="s">
        <v>289</v>
      </c>
      <c r="I22" s="371" t="s">
        <v>289</v>
      </c>
      <c r="J22" s="371" t="s">
        <v>289</v>
      </c>
      <c r="K22" s="371" t="s">
        <v>289</v>
      </c>
      <c r="L22" s="371" t="s">
        <v>289</v>
      </c>
      <c r="M22" s="371" t="s">
        <v>289</v>
      </c>
      <c r="N22" s="371" t="s">
        <v>289</v>
      </c>
      <c r="O22" s="321">
        <f t="shared" si="0"/>
        <v>0</v>
      </c>
    </row>
    <row r="23" spans="1:16">
      <c r="A23" s="523"/>
      <c r="B23" s="3" t="s">
        <v>86</v>
      </c>
      <c r="C23" s="371" t="s">
        <v>289</v>
      </c>
      <c r="D23" s="371" t="s">
        <v>289</v>
      </c>
      <c r="E23" s="371" t="s">
        <v>289</v>
      </c>
      <c r="F23" s="371" t="s">
        <v>289</v>
      </c>
      <c r="G23" s="371" t="s">
        <v>289</v>
      </c>
      <c r="H23" s="371" t="s">
        <v>289</v>
      </c>
      <c r="I23" s="371" t="s">
        <v>289</v>
      </c>
      <c r="J23" s="371" t="s">
        <v>289</v>
      </c>
      <c r="K23" s="371" t="s">
        <v>289</v>
      </c>
      <c r="L23" s="371" t="s">
        <v>289</v>
      </c>
      <c r="M23" s="371" t="s">
        <v>289</v>
      </c>
      <c r="N23" s="371" t="s">
        <v>289</v>
      </c>
      <c r="O23" s="321">
        <f t="shared" si="0"/>
        <v>0</v>
      </c>
    </row>
    <row r="24" spans="1:16">
      <c r="A24" s="523"/>
      <c r="B24" s="3" t="s">
        <v>87</v>
      </c>
      <c r="C24" s="371" t="s">
        <v>289</v>
      </c>
      <c r="D24" s="371" t="s">
        <v>289</v>
      </c>
      <c r="E24" s="371" t="s">
        <v>289</v>
      </c>
      <c r="F24" s="371" t="s">
        <v>289</v>
      </c>
      <c r="G24" s="371" t="s">
        <v>289</v>
      </c>
      <c r="H24" s="371" t="s">
        <v>289</v>
      </c>
      <c r="I24" s="371" t="s">
        <v>289</v>
      </c>
      <c r="J24" s="371" t="s">
        <v>289</v>
      </c>
      <c r="K24" s="371" t="s">
        <v>289</v>
      </c>
      <c r="L24" s="371" t="s">
        <v>289</v>
      </c>
      <c r="M24" s="371" t="s">
        <v>289</v>
      </c>
      <c r="N24" s="371" t="s">
        <v>289</v>
      </c>
      <c r="O24" s="321">
        <f t="shared" si="0"/>
        <v>0</v>
      </c>
    </row>
    <row r="25" spans="1:16">
      <c r="A25" s="523"/>
      <c r="B25" s="3" t="s">
        <v>88</v>
      </c>
      <c r="C25" s="371" t="s">
        <v>289</v>
      </c>
      <c r="D25" s="371" t="s">
        <v>289</v>
      </c>
      <c r="E25" s="371" t="s">
        <v>289</v>
      </c>
      <c r="F25" s="371" t="s">
        <v>289</v>
      </c>
      <c r="G25" s="371" t="s">
        <v>289</v>
      </c>
      <c r="H25" s="371" t="s">
        <v>289</v>
      </c>
      <c r="I25" s="371" t="s">
        <v>289</v>
      </c>
      <c r="J25" s="371" t="s">
        <v>289</v>
      </c>
      <c r="K25" s="371" t="s">
        <v>289</v>
      </c>
      <c r="L25" s="371" t="s">
        <v>289</v>
      </c>
      <c r="M25" s="371" t="s">
        <v>289</v>
      </c>
      <c r="N25" s="371" t="s">
        <v>289</v>
      </c>
      <c r="O25" s="321">
        <f t="shared" si="0"/>
        <v>0</v>
      </c>
    </row>
    <row r="26" spans="1:16" ht="15.75" thickBot="1">
      <c r="A26" s="524"/>
      <c r="B26" s="72" t="s">
        <v>89</v>
      </c>
      <c r="C26" s="372">
        <v>0.36</v>
      </c>
      <c r="D26" s="372">
        <v>0.74</v>
      </c>
      <c r="E26" s="354">
        <v>1.4750000000000001</v>
      </c>
      <c r="F26" s="354">
        <v>1.83</v>
      </c>
      <c r="G26" s="354">
        <v>1.2</v>
      </c>
      <c r="H26" s="354">
        <v>1.52</v>
      </c>
      <c r="I26" s="354">
        <v>0.96</v>
      </c>
      <c r="J26" s="354">
        <v>0.85</v>
      </c>
      <c r="K26" s="354">
        <v>0.3</v>
      </c>
      <c r="L26" s="354">
        <v>0.72</v>
      </c>
      <c r="M26" s="500">
        <v>0.81499999999999995</v>
      </c>
      <c r="N26" s="500">
        <v>0.6</v>
      </c>
      <c r="O26" s="468">
        <f t="shared" si="0"/>
        <v>11.370000000000001</v>
      </c>
    </row>
    <row r="27" spans="1:16">
      <c r="A27" s="538" t="s">
        <v>14</v>
      </c>
      <c r="B27" s="71" t="s">
        <v>81</v>
      </c>
      <c r="C27" s="329" t="s">
        <v>289</v>
      </c>
      <c r="D27" s="329" t="s">
        <v>289</v>
      </c>
      <c r="E27" s="329" t="s">
        <v>289</v>
      </c>
      <c r="F27" s="329" t="s">
        <v>289</v>
      </c>
      <c r="G27" s="329" t="s">
        <v>289</v>
      </c>
      <c r="H27" s="329" t="s">
        <v>289</v>
      </c>
      <c r="I27" s="329" t="s">
        <v>289</v>
      </c>
      <c r="J27" s="329" t="s">
        <v>289</v>
      </c>
      <c r="K27" s="329" t="s">
        <v>289</v>
      </c>
      <c r="L27" s="329" t="s">
        <v>289</v>
      </c>
      <c r="M27" s="329" t="s">
        <v>289</v>
      </c>
      <c r="N27" s="329" t="s">
        <v>289</v>
      </c>
      <c r="O27" s="467">
        <f t="shared" si="0"/>
        <v>0</v>
      </c>
    </row>
    <row r="28" spans="1:16">
      <c r="A28" s="523"/>
      <c r="B28" s="3" t="s">
        <v>82</v>
      </c>
      <c r="C28" s="328" t="s">
        <v>289</v>
      </c>
      <c r="D28" s="328" t="s">
        <v>289</v>
      </c>
      <c r="E28" s="328" t="s">
        <v>289</v>
      </c>
      <c r="F28" s="328" t="s">
        <v>289</v>
      </c>
      <c r="G28" s="328" t="s">
        <v>289</v>
      </c>
      <c r="H28" s="328" t="s">
        <v>289</v>
      </c>
      <c r="I28" s="328" t="s">
        <v>289</v>
      </c>
      <c r="J28" s="328" t="s">
        <v>289</v>
      </c>
      <c r="K28" s="328" t="s">
        <v>289</v>
      </c>
      <c r="L28" s="328" t="s">
        <v>289</v>
      </c>
      <c r="M28" s="328" t="s">
        <v>289</v>
      </c>
      <c r="N28" s="328" t="s">
        <v>289</v>
      </c>
      <c r="O28" s="321">
        <f t="shared" si="0"/>
        <v>0</v>
      </c>
    </row>
    <row r="29" spans="1:16">
      <c r="A29" s="523"/>
      <c r="B29" s="3" t="s">
        <v>83</v>
      </c>
      <c r="C29" s="328" t="s">
        <v>289</v>
      </c>
      <c r="D29" s="328" t="s">
        <v>289</v>
      </c>
      <c r="E29" s="328" t="s">
        <v>289</v>
      </c>
      <c r="F29" s="328" t="s">
        <v>289</v>
      </c>
      <c r="G29" s="328" t="s">
        <v>289</v>
      </c>
      <c r="H29" s="328" t="s">
        <v>289</v>
      </c>
      <c r="I29" s="328" t="s">
        <v>289</v>
      </c>
      <c r="J29" s="328" t="s">
        <v>289</v>
      </c>
      <c r="K29" s="328" t="s">
        <v>289</v>
      </c>
      <c r="L29" s="328" t="s">
        <v>289</v>
      </c>
      <c r="M29" s="328" t="s">
        <v>289</v>
      </c>
      <c r="N29" s="328" t="s">
        <v>289</v>
      </c>
      <c r="O29" s="321">
        <f t="shared" si="0"/>
        <v>0</v>
      </c>
    </row>
    <row r="30" spans="1:16">
      <c r="A30" s="523"/>
      <c r="B30" s="3" t="s">
        <v>84</v>
      </c>
      <c r="C30" s="328" t="s">
        <v>289</v>
      </c>
      <c r="D30" s="328" t="s">
        <v>289</v>
      </c>
      <c r="E30" s="328" t="s">
        <v>289</v>
      </c>
      <c r="F30" s="328" t="s">
        <v>289</v>
      </c>
      <c r="G30" s="328" t="s">
        <v>289</v>
      </c>
      <c r="H30" s="328" t="s">
        <v>289</v>
      </c>
      <c r="I30" s="328" t="s">
        <v>289</v>
      </c>
      <c r="J30" s="328" t="s">
        <v>289</v>
      </c>
      <c r="K30" s="328" t="s">
        <v>289</v>
      </c>
      <c r="L30" s="328" t="s">
        <v>289</v>
      </c>
      <c r="M30" s="328" t="s">
        <v>289</v>
      </c>
      <c r="N30" s="328" t="s">
        <v>289</v>
      </c>
      <c r="O30" s="321">
        <f t="shared" si="0"/>
        <v>0</v>
      </c>
    </row>
    <row r="31" spans="1:16">
      <c r="A31" s="523"/>
      <c r="B31" s="3" t="s">
        <v>85</v>
      </c>
      <c r="C31" s="328" t="s">
        <v>289</v>
      </c>
      <c r="D31" s="328" t="s">
        <v>289</v>
      </c>
      <c r="E31" s="328" t="s">
        <v>289</v>
      </c>
      <c r="F31" s="328" t="s">
        <v>289</v>
      </c>
      <c r="G31" s="328" t="s">
        <v>289</v>
      </c>
      <c r="H31" s="328" t="s">
        <v>289</v>
      </c>
      <c r="I31" s="328" t="s">
        <v>289</v>
      </c>
      <c r="J31" s="328" t="s">
        <v>289</v>
      </c>
      <c r="K31" s="328" t="s">
        <v>289</v>
      </c>
      <c r="L31" s="328" t="s">
        <v>289</v>
      </c>
      <c r="M31" s="328" t="s">
        <v>289</v>
      </c>
      <c r="N31" s="328" t="s">
        <v>289</v>
      </c>
      <c r="O31" s="321">
        <f t="shared" si="0"/>
        <v>0</v>
      </c>
    </row>
    <row r="32" spans="1:16">
      <c r="A32" s="523"/>
      <c r="B32" s="3" t="s">
        <v>86</v>
      </c>
      <c r="C32" s="328" t="s">
        <v>289</v>
      </c>
      <c r="D32" s="328" t="s">
        <v>289</v>
      </c>
      <c r="E32" s="328" t="s">
        <v>289</v>
      </c>
      <c r="F32" s="328" t="s">
        <v>289</v>
      </c>
      <c r="G32" s="328" t="s">
        <v>289</v>
      </c>
      <c r="H32" s="328" t="s">
        <v>289</v>
      </c>
      <c r="I32" s="328" t="s">
        <v>289</v>
      </c>
      <c r="J32" s="328" t="s">
        <v>289</v>
      </c>
      <c r="K32" s="328" t="s">
        <v>289</v>
      </c>
      <c r="L32" s="328" t="s">
        <v>289</v>
      </c>
      <c r="M32" s="328" t="s">
        <v>289</v>
      </c>
      <c r="N32" s="328" t="s">
        <v>289</v>
      </c>
      <c r="O32" s="321">
        <f t="shared" si="0"/>
        <v>0</v>
      </c>
    </row>
    <row r="33" spans="1:15">
      <c r="A33" s="523"/>
      <c r="B33" s="3" t="s">
        <v>87</v>
      </c>
      <c r="C33" s="328" t="s">
        <v>289</v>
      </c>
      <c r="D33" s="328" t="s">
        <v>289</v>
      </c>
      <c r="E33" s="328" t="s">
        <v>289</v>
      </c>
      <c r="F33" s="328" t="s">
        <v>289</v>
      </c>
      <c r="G33" s="328" t="s">
        <v>289</v>
      </c>
      <c r="H33" s="328" t="s">
        <v>289</v>
      </c>
      <c r="I33" s="328" t="s">
        <v>289</v>
      </c>
      <c r="J33" s="328" t="s">
        <v>289</v>
      </c>
      <c r="K33" s="328" t="s">
        <v>289</v>
      </c>
      <c r="L33" s="328" t="s">
        <v>289</v>
      </c>
      <c r="M33" s="328" t="s">
        <v>289</v>
      </c>
      <c r="N33" s="328" t="s">
        <v>289</v>
      </c>
      <c r="O33" s="321">
        <f t="shared" si="0"/>
        <v>0</v>
      </c>
    </row>
    <row r="34" spans="1:15">
      <c r="A34" s="523"/>
      <c r="B34" s="3" t="s">
        <v>88</v>
      </c>
      <c r="C34" s="328" t="s">
        <v>289</v>
      </c>
      <c r="D34" s="328" t="s">
        <v>289</v>
      </c>
      <c r="E34" s="328" t="s">
        <v>289</v>
      </c>
      <c r="F34" s="328" t="s">
        <v>289</v>
      </c>
      <c r="G34" s="328" t="s">
        <v>289</v>
      </c>
      <c r="H34" s="328" t="s">
        <v>289</v>
      </c>
      <c r="I34" s="328" t="s">
        <v>289</v>
      </c>
      <c r="J34" s="328" t="s">
        <v>289</v>
      </c>
      <c r="K34" s="328" t="s">
        <v>289</v>
      </c>
      <c r="L34" s="328" t="s">
        <v>289</v>
      </c>
      <c r="M34" s="328" t="s">
        <v>289</v>
      </c>
      <c r="N34" s="328" t="s">
        <v>289</v>
      </c>
      <c r="O34" s="321">
        <f t="shared" si="0"/>
        <v>0</v>
      </c>
    </row>
    <row r="35" spans="1:15" ht="15.75" thickBot="1">
      <c r="A35" s="524"/>
      <c r="B35" s="72" t="s">
        <v>89</v>
      </c>
      <c r="C35" s="327" t="s">
        <v>289</v>
      </c>
      <c r="D35" s="327" t="s">
        <v>289</v>
      </c>
      <c r="E35" s="327" t="s">
        <v>289</v>
      </c>
      <c r="F35" s="327" t="s">
        <v>289</v>
      </c>
      <c r="G35" s="327" t="s">
        <v>289</v>
      </c>
      <c r="H35" s="327" t="s">
        <v>289</v>
      </c>
      <c r="I35" s="327" t="s">
        <v>289</v>
      </c>
      <c r="J35" s="327" t="s">
        <v>289</v>
      </c>
      <c r="K35" s="327" t="s">
        <v>289</v>
      </c>
      <c r="L35" s="327" t="s">
        <v>289</v>
      </c>
      <c r="M35" s="327" t="s">
        <v>289</v>
      </c>
      <c r="N35" s="327" t="s">
        <v>289</v>
      </c>
      <c r="O35" s="468">
        <f t="shared" si="0"/>
        <v>0</v>
      </c>
    </row>
    <row r="36" spans="1:15">
      <c r="A36" s="538" t="s">
        <v>15</v>
      </c>
      <c r="B36" s="71" t="s">
        <v>81</v>
      </c>
      <c r="C36" s="329" t="s">
        <v>289</v>
      </c>
      <c r="D36" s="329" t="s">
        <v>289</v>
      </c>
      <c r="E36" s="329" t="s">
        <v>289</v>
      </c>
      <c r="F36" s="329" t="s">
        <v>289</v>
      </c>
      <c r="G36" s="329" t="s">
        <v>289</v>
      </c>
      <c r="H36" s="329" t="s">
        <v>289</v>
      </c>
      <c r="I36" s="329" t="s">
        <v>289</v>
      </c>
      <c r="J36" s="329" t="s">
        <v>289</v>
      </c>
      <c r="K36" s="329" t="s">
        <v>289</v>
      </c>
      <c r="L36" s="329" t="s">
        <v>289</v>
      </c>
      <c r="M36" s="329" t="s">
        <v>289</v>
      </c>
      <c r="N36" s="329" t="s">
        <v>289</v>
      </c>
      <c r="O36" s="467">
        <f t="shared" si="0"/>
        <v>0</v>
      </c>
    </row>
    <row r="37" spans="1:15">
      <c r="A37" s="523"/>
      <c r="B37" s="3" t="s">
        <v>82</v>
      </c>
      <c r="C37" s="328" t="s">
        <v>289</v>
      </c>
      <c r="D37" s="328" t="s">
        <v>289</v>
      </c>
      <c r="E37" s="328" t="s">
        <v>289</v>
      </c>
      <c r="F37" s="328" t="s">
        <v>289</v>
      </c>
      <c r="G37" s="328" t="s">
        <v>289</v>
      </c>
      <c r="H37" s="328" t="s">
        <v>289</v>
      </c>
      <c r="I37" s="328" t="s">
        <v>289</v>
      </c>
      <c r="J37" s="328" t="s">
        <v>289</v>
      </c>
      <c r="K37" s="328" t="s">
        <v>289</v>
      </c>
      <c r="L37" s="328" t="s">
        <v>289</v>
      </c>
      <c r="M37" s="328" t="s">
        <v>289</v>
      </c>
      <c r="N37" s="328" t="s">
        <v>289</v>
      </c>
      <c r="O37" s="321">
        <f t="shared" si="0"/>
        <v>0</v>
      </c>
    </row>
    <row r="38" spans="1:15">
      <c r="A38" s="523"/>
      <c r="B38" s="3" t="s">
        <v>83</v>
      </c>
      <c r="C38" s="328" t="s">
        <v>289</v>
      </c>
      <c r="D38" s="328" t="s">
        <v>289</v>
      </c>
      <c r="E38" s="328" t="s">
        <v>289</v>
      </c>
      <c r="F38" s="328" t="s">
        <v>289</v>
      </c>
      <c r="G38" s="328" t="s">
        <v>289</v>
      </c>
      <c r="H38" s="328" t="s">
        <v>289</v>
      </c>
      <c r="I38" s="328" t="s">
        <v>289</v>
      </c>
      <c r="J38" s="328" t="s">
        <v>289</v>
      </c>
      <c r="K38" s="328" t="s">
        <v>289</v>
      </c>
      <c r="L38" s="328" t="s">
        <v>289</v>
      </c>
      <c r="M38" s="328" t="s">
        <v>289</v>
      </c>
      <c r="N38" s="328" t="s">
        <v>289</v>
      </c>
      <c r="O38" s="321">
        <f t="shared" si="0"/>
        <v>0</v>
      </c>
    </row>
    <row r="39" spans="1:15">
      <c r="A39" s="523"/>
      <c r="B39" s="3" t="s">
        <v>84</v>
      </c>
      <c r="C39" s="328" t="s">
        <v>289</v>
      </c>
      <c r="D39" s="328" t="s">
        <v>289</v>
      </c>
      <c r="E39" s="328" t="s">
        <v>289</v>
      </c>
      <c r="F39" s="328" t="s">
        <v>289</v>
      </c>
      <c r="G39" s="328" t="s">
        <v>289</v>
      </c>
      <c r="H39" s="328" t="s">
        <v>289</v>
      </c>
      <c r="I39" s="328" t="s">
        <v>289</v>
      </c>
      <c r="J39" s="328" t="s">
        <v>289</v>
      </c>
      <c r="K39" s="328" t="s">
        <v>289</v>
      </c>
      <c r="L39" s="328" t="s">
        <v>289</v>
      </c>
      <c r="M39" s="328" t="s">
        <v>289</v>
      </c>
      <c r="N39" s="328" t="s">
        <v>289</v>
      </c>
      <c r="O39" s="321">
        <f t="shared" si="0"/>
        <v>0</v>
      </c>
    </row>
    <row r="40" spans="1:15">
      <c r="A40" s="523"/>
      <c r="B40" s="3" t="s">
        <v>85</v>
      </c>
      <c r="C40" s="328" t="s">
        <v>289</v>
      </c>
      <c r="D40" s="328" t="s">
        <v>289</v>
      </c>
      <c r="E40" s="328" t="s">
        <v>289</v>
      </c>
      <c r="F40" s="328" t="s">
        <v>289</v>
      </c>
      <c r="G40" s="328" t="s">
        <v>289</v>
      </c>
      <c r="H40" s="328" t="s">
        <v>289</v>
      </c>
      <c r="I40" s="328" t="s">
        <v>289</v>
      </c>
      <c r="J40" s="328" t="s">
        <v>289</v>
      </c>
      <c r="K40" s="328" t="s">
        <v>289</v>
      </c>
      <c r="L40" s="328" t="s">
        <v>289</v>
      </c>
      <c r="M40" s="328" t="s">
        <v>289</v>
      </c>
      <c r="N40" s="328" t="s">
        <v>289</v>
      </c>
      <c r="O40" s="321">
        <f t="shared" si="0"/>
        <v>0</v>
      </c>
    </row>
    <row r="41" spans="1:15">
      <c r="A41" s="523"/>
      <c r="B41" s="3" t="s">
        <v>86</v>
      </c>
      <c r="C41" s="328" t="s">
        <v>289</v>
      </c>
      <c r="D41" s="328" t="s">
        <v>289</v>
      </c>
      <c r="E41" s="328" t="s">
        <v>289</v>
      </c>
      <c r="F41" s="328" t="s">
        <v>289</v>
      </c>
      <c r="G41" s="328" t="s">
        <v>289</v>
      </c>
      <c r="H41" s="328" t="s">
        <v>289</v>
      </c>
      <c r="I41" s="328" t="s">
        <v>289</v>
      </c>
      <c r="J41" s="328" t="s">
        <v>289</v>
      </c>
      <c r="K41" s="328" t="s">
        <v>289</v>
      </c>
      <c r="L41" s="328" t="s">
        <v>289</v>
      </c>
      <c r="M41" s="328" t="s">
        <v>289</v>
      </c>
      <c r="N41" s="328" t="s">
        <v>289</v>
      </c>
      <c r="O41" s="321">
        <f t="shared" si="0"/>
        <v>0</v>
      </c>
    </row>
    <row r="42" spans="1:15">
      <c r="A42" s="523"/>
      <c r="B42" s="3" t="s">
        <v>87</v>
      </c>
      <c r="C42" s="328" t="s">
        <v>289</v>
      </c>
      <c r="D42" s="328" t="s">
        <v>289</v>
      </c>
      <c r="E42" s="328" t="s">
        <v>289</v>
      </c>
      <c r="F42" s="328" t="s">
        <v>289</v>
      </c>
      <c r="G42" s="328" t="s">
        <v>289</v>
      </c>
      <c r="H42" s="328" t="s">
        <v>289</v>
      </c>
      <c r="I42" s="328" t="s">
        <v>289</v>
      </c>
      <c r="J42" s="328" t="s">
        <v>289</v>
      </c>
      <c r="K42" s="328" t="s">
        <v>289</v>
      </c>
      <c r="L42" s="328" t="s">
        <v>289</v>
      </c>
      <c r="M42" s="328" t="s">
        <v>289</v>
      </c>
      <c r="N42" s="328" t="s">
        <v>289</v>
      </c>
      <c r="O42" s="321">
        <f t="shared" si="0"/>
        <v>0</v>
      </c>
    </row>
    <row r="43" spans="1:15">
      <c r="A43" s="523"/>
      <c r="B43" s="3" t="s">
        <v>88</v>
      </c>
      <c r="C43" s="328" t="s">
        <v>289</v>
      </c>
      <c r="D43" s="328" t="s">
        <v>289</v>
      </c>
      <c r="E43" s="328" t="s">
        <v>289</v>
      </c>
      <c r="F43" s="328" t="s">
        <v>289</v>
      </c>
      <c r="G43" s="328" t="s">
        <v>289</v>
      </c>
      <c r="H43" s="328" t="s">
        <v>289</v>
      </c>
      <c r="I43" s="328" t="s">
        <v>289</v>
      </c>
      <c r="J43" s="328" t="s">
        <v>289</v>
      </c>
      <c r="K43" s="328" t="s">
        <v>289</v>
      </c>
      <c r="L43" s="328" t="s">
        <v>289</v>
      </c>
      <c r="M43" s="328" t="s">
        <v>289</v>
      </c>
      <c r="N43" s="328" t="s">
        <v>289</v>
      </c>
      <c r="O43" s="321">
        <f t="shared" si="0"/>
        <v>0</v>
      </c>
    </row>
    <row r="44" spans="1:15" ht="15.75" thickBot="1">
      <c r="A44" s="524"/>
      <c r="B44" s="72" t="s">
        <v>89</v>
      </c>
      <c r="C44" s="327" t="s">
        <v>289</v>
      </c>
      <c r="D44" s="327" t="s">
        <v>289</v>
      </c>
      <c r="E44" s="327" t="s">
        <v>289</v>
      </c>
      <c r="F44" s="327" t="s">
        <v>289</v>
      </c>
      <c r="G44" s="327" t="s">
        <v>289</v>
      </c>
      <c r="H44" s="327" t="s">
        <v>289</v>
      </c>
      <c r="I44" s="327" t="s">
        <v>289</v>
      </c>
      <c r="J44" s="327" t="s">
        <v>289</v>
      </c>
      <c r="K44" s="327" t="s">
        <v>289</v>
      </c>
      <c r="L44" s="327" t="s">
        <v>289</v>
      </c>
      <c r="M44" s="327" t="s">
        <v>289</v>
      </c>
      <c r="N44" s="327" t="s">
        <v>289</v>
      </c>
      <c r="O44" s="468">
        <f t="shared" si="0"/>
        <v>0</v>
      </c>
    </row>
    <row r="47" spans="1:15">
      <c r="A47" s="31" t="s">
        <v>1</v>
      </c>
      <c r="M47" s="1">
        <f>2735-2277</f>
        <v>458</v>
      </c>
      <c r="N47" s="141">
        <f>2735-1100</f>
        <v>1635</v>
      </c>
      <c r="O47" s="141">
        <f>2735-1030</f>
        <v>1705</v>
      </c>
    </row>
    <row r="48" spans="1:15">
      <c r="A48" s="31" t="s">
        <v>91</v>
      </c>
      <c r="M48" s="507">
        <f>M47/2277</f>
        <v>0.20114185331576637</v>
      </c>
      <c r="N48" s="507">
        <f>N47/1100</f>
        <v>1.4863636363636363</v>
      </c>
      <c r="O48" s="507">
        <f>O47/1030</f>
        <v>1.6553398058252426</v>
      </c>
    </row>
    <row r="49" spans="1:14" ht="15.75" thickBot="1">
      <c r="A49" s="31" t="s">
        <v>92</v>
      </c>
    </row>
    <row r="50" spans="1:14" ht="33.75" customHeight="1" thickBot="1">
      <c r="A50" s="68" t="s">
        <v>4</v>
      </c>
      <c r="B50" s="70" t="s">
        <v>90</v>
      </c>
      <c r="C50" s="464" t="s">
        <v>299</v>
      </c>
    </row>
    <row r="51" spans="1:14">
      <c r="A51" s="538" t="s">
        <v>6</v>
      </c>
      <c r="B51" s="71" t="s">
        <v>94</v>
      </c>
      <c r="C51" s="73">
        <v>0</v>
      </c>
      <c r="K51" s="141">
        <f>11370-8992</f>
        <v>2378</v>
      </c>
      <c r="L51" s="141">
        <f>11370-3957</f>
        <v>7413</v>
      </c>
      <c r="M51" s="141">
        <f>11370-4659</f>
        <v>6711</v>
      </c>
      <c r="N51" s="141"/>
    </row>
    <row r="52" spans="1:14" ht="15.75" thickBot="1">
      <c r="A52" s="524"/>
      <c r="B52" s="72" t="s">
        <v>95</v>
      </c>
      <c r="C52" s="76">
        <v>0</v>
      </c>
      <c r="K52" s="507">
        <f>K51/8992</f>
        <v>0.26445729537366547</v>
      </c>
      <c r="L52" s="507">
        <f>L51/3957</f>
        <v>1.8733889310083396</v>
      </c>
      <c r="M52" s="507">
        <f>M51/4659</f>
        <v>1.4404378622021894</v>
      </c>
      <c r="N52" s="507"/>
    </row>
    <row r="53" spans="1:14">
      <c r="A53" s="538" t="s">
        <v>14</v>
      </c>
      <c r="B53" s="71" t="s">
        <v>94</v>
      </c>
      <c r="C53" s="73">
        <v>0</v>
      </c>
    </row>
    <row r="54" spans="1:14" ht="15.75" thickBot="1">
      <c r="A54" s="524"/>
      <c r="B54" s="72" t="s">
        <v>95</v>
      </c>
      <c r="C54" s="76">
        <v>0</v>
      </c>
    </row>
    <row r="55" spans="1:14">
      <c r="A55" s="538" t="s">
        <v>15</v>
      </c>
      <c r="B55" s="71" t="s">
        <v>94</v>
      </c>
      <c r="C55" s="73">
        <v>0</v>
      </c>
    </row>
    <row r="56" spans="1:14" ht="15.75" thickBot="1">
      <c r="A56" s="524"/>
      <c r="B56" s="72" t="s">
        <v>95</v>
      </c>
      <c r="C56" s="76">
        <v>0</v>
      </c>
    </row>
  </sheetData>
  <protectedRanges>
    <protectedRange sqref="C18:D26 C27:H44 E18:H25 I18:N44" name="Intervalo1" securityDescriptor="O:WDG:WDD:(A;;CC;;;WD)"/>
    <protectedRange sqref="E26:M26" name="Intervalo1_3" securityDescriptor="O:WDG:WDD:(A;;CC;;;WD)"/>
  </protectedRanges>
  <customSheetViews>
    <customSheetView guid="{DFED14A5-FC7F-4CB0-A970-C00E731629C6}" scale="85">
      <selection activeCell="D48" sqref="D48"/>
      <pageMargins left="0.511811024" right="0.511811024" top="0.78740157499999996" bottom="0.78740157499999996" header="0.31496062000000002" footer="0.31496062000000002"/>
    </customSheetView>
  </customSheetViews>
  <mergeCells count="8">
    <mergeCell ref="A55:A56"/>
    <mergeCell ref="A18:A26"/>
    <mergeCell ref="C1:L2"/>
    <mergeCell ref="C3:L4"/>
    <mergeCell ref="A27:A35"/>
    <mergeCell ref="A36:A44"/>
    <mergeCell ref="A51:A52"/>
    <mergeCell ref="A53:A5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21"/>
  <sheetViews>
    <sheetView zoomScale="85" zoomScaleNormal="85" workbookViewId="0">
      <selection activeCell="C27" sqref="C27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C1" s="511" t="s">
        <v>0</v>
      </c>
      <c r="D1" s="511"/>
      <c r="E1" s="511"/>
      <c r="F1" s="511"/>
      <c r="G1" s="511"/>
      <c r="H1" s="511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C2" s="511"/>
      <c r="D2" s="511"/>
      <c r="E2" s="511"/>
      <c r="F2" s="511"/>
      <c r="G2" s="511"/>
      <c r="H2" s="511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C3" s="512" t="s">
        <v>102</v>
      </c>
      <c r="D3" s="512"/>
      <c r="E3" s="512"/>
      <c r="F3" s="512"/>
      <c r="G3" s="512"/>
      <c r="H3" s="512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C4" s="512"/>
      <c r="D4" s="512"/>
      <c r="E4" s="512"/>
      <c r="F4" s="512"/>
      <c r="G4" s="512"/>
      <c r="H4" s="512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96</v>
      </c>
    </row>
    <row r="8" spans="1:21">
      <c r="A8" s="31" t="s">
        <v>97</v>
      </c>
    </row>
    <row r="9" spans="1:21" ht="15.75" thickBot="1">
      <c r="A9" s="31" t="s">
        <v>98</v>
      </c>
    </row>
    <row r="10" spans="1:21">
      <c r="A10" s="514" t="s">
        <v>4</v>
      </c>
      <c r="B10" s="518" t="s">
        <v>299</v>
      </c>
      <c r="C10" s="519"/>
      <c r="D10" s="520"/>
    </row>
    <row r="11" spans="1:21" ht="60.75" thickBot="1">
      <c r="A11" s="515"/>
      <c r="B11" s="35" t="s">
        <v>99</v>
      </c>
      <c r="C11" s="35" t="s">
        <v>100</v>
      </c>
      <c r="D11" s="36" t="s">
        <v>101</v>
      </c>
    </row>
    <row r="12" spans="1:21">
      <c r="A12" s="4" t="s">
        <v>6</v>
      </c>
      <c r="B12" s="90">
        <v>212</v>
      </c>
      <c r="C12" s="95">
        <v>50</v>
      </c>
      <c r="D12" s="88">
        <v>101</v>
      </c>
    </row>
    <row r="13" spans="1:21">
      <c r="A13" s="5" t="s">
        <v>14</v>
      </c>
      <c r="B13" s="92">
        <v>22</v>
      </c>
      <c r="C13" s="93">
        <v>0</v>
      </c>
      <c r="D13" s="89">
        <v>0</v>
      </c>
    </row>
    <row r="14" spans="1:21" ht="15.75" thickBot="1">
      <c r="A14" s="6" t="s">
        <v>15</v>
      </c>
      <c r="B14" s="401">
        <v>12</v>
      </c>
      <c r="C14" s="402">
        <v>5</v>
      </c>
      <c r="D14" s="400">
        <v>0</v>
      </c>
    </row>
    <row r="15" spans="1:21" ht="15.75" thickBot="1">
      <c r="A15" s="38" t="s">
        <v>47</v>
      </c>
      <c r="B15" s="18">
        <f>B12+B13+B14</f>
        <v>246</v>
      </c>
      <c r="C15" s="53">
        <f>C12+C13+C14</f>
        <v>55</v>
      </c>
      <c r="D15" s="54">
        <f>D12+D13+D14</f>
        <v>101</v>
      </c>
    </row>
    <row r="20" spans="2:5">
      <c r="B20" s="1">
        <f>402-446</f>
        <v>-44</v>
      </c>
      <c r="C20" s="141">
        <f>402-493</f>
        <v>-91</v>
      </c>
      <c r="D20" s="141">
        <f>402-293</f>
        <v>109</v>
      </c>
      <c r="E20" s="141"/>
    </row>
    <row r="21" spans="2:5">
      <c r="B21" s="507">
        <f>B20/446</f>
        <v>-9.8654708520179366E-2</v>
      </c>
      <c r="C21" s="507">
        <f>C20/493</f>
        <v>-0.18458417849898581</v>
      </c>
      <c r="D21" s="507">
        <f>D20/293</f>
        <v>0.37201365187713309</v>
      </c>
      <c r="E21" s="507"/>
    </row>
  </sheetData>
  <protectedRanges>
    <protectedRange sqref="B12:D14" name="Intervalo1" securityDescriptor="O:WDG:WDD:(A;;CC;;;WD)"/>
  </protectedRanges>
  <customSheetViews>
    <customSheetView guid="{DFED14A5-FC7F-4CB0-A970-C00E731629C6}" scale="85">
      <selection activeCell="B12" sqref="B12:D13"/>
      <pageMargins left="0.511811024" right="0.511811024" top="0.78740157499999996" bottom="0.78740157499999996" header="0.31496062000000002" footer="0.31496062000000002"/>
    </customSheetView>
  </customSheetViews>
  <mergeCells count="4">
    <mergeCell ref="A10:A11"/>
    <mergeCell ref="B10:D10"/>
    <mergeCell ref="C1:H2"/>
    <mergeCell ref="C3:H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X52"/>
  <sheetViews>
    <sheetView topLeftCell="B8" zoomScale="85" zoomScaleNormal="85" workbookViewId="0">
      <selection activeCell="O27" sqref="O27"/>
    </sheetView>
  </sheetViews>
  <sheetFormatPr defaultColWidth="9.140625" defaultRowHeight="15"/>
  <cols>
    <col min="1" max="1" width="29.42578125" style="1" customWidth="1"/>
    <col min="2" max="28" width="13.85546875" style="1" customWidth="1"/>
    <col min="29" max="16384" width="9.140625" style="1"/>
  </cols>
  <sheetData>
    <row r="1" spans="1:24" ht="15" customHeight="1"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B3" s="512" t="s">
        <v>103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6.75" customHeight="1"/>
    <row r="6" spans="1:24">
      <c r="A6" s="31" t="s">
        <v>1</v>
      </c>
    </row>
    <row r="7" spans="1:24">
      <c r="A7" s="31" t="s">
        <v>104</v>
      </c>
    </row>
    <row r="8" spans="1:24" ht="15.75" thickBot="1">
      <c r="A8" s="31" t="s">
        <v>106</v>
      </c>
    </row>
    <row r="9" spans="1:24">
      <c r="A9" s="545" t="s">
        <v>4</v>
      </c>
      <c r="B9" s="513">
        <v>43466</v>
      </c>
      <c r="C9" s="547"/>
      <c r="D9" s="513">
        <v>43497</v>
      </c>
      <c r="E9" s="547"/>
      <c r="F9" s="513">
        <v>43525</v>
      </c>
      <c r="G9" s="547"/>
      <c r="H9" s="513">
        <v>43556</v>
      </c>
      <c r="I9" s="547"/>
      <c r="J9" s="513">
        <v>43586</v>
      </c>
      <c r="K9" s="547"/>
      <c r="L9" s="513">
        <v>43617</v>
      </c>
      <c r="M9" s="547"/>
    </row>
    <row r="10" spans="1:24" ht="15.75" thickBot="1">
      <c r="A10" s="546"/>
      <c r="B10" s="67" t="s">
        <v>108</v>
      </c>
      <c r="C10" s="100" t="s">
        <v>147</v>
      </c>
      <c r="D10" s="67" t="s">
        <v>108</v>
      </c>
      <c r="E10" s="100" t="s">
        <v>147</v>
      </c>
      <c r="F10" s="67" t="s">
        <v>108</v>
      </c>
      <c r="G10" s="100" t="s">
        <v>147</v>
      </c>
      <c r="H10" s="67" t="s">
        <v>108</v>
      </c>
      <c r="I10" s="100" t="s">
        <v>147</v>
      </c>
      <c r="J10" s="67" t="s">
        <v>108</v>
      </c>
      <c r="K10" s="100" t="s">
        <v>147</v>
      </c>
      <c r="L10" s="67" t="s">
        <v>108</v>
      </c>
      <c r="M10" s="100" t="s">
        <v>147</v>
      </c>
      <c r="O10" s="1">
        <f>26*5</f>
        <v>130</v>
      </c>
    </row>
    <row r="11" spans="1:24">
      <c r="A11" s="4" t="s">
        <v>6</v>
      </c>
      <c r="B11" s="303">
        <v>104</v>
      </c>
      <c r="C11" s="304">
        <v>612.85</v>
      </c>
      <c r="D11" s="303">
        <v>104</v>
      </c>
      <c r="E11" s="304">
        <v>556.62</v>
      </c>
      <c r="F11" s="303">
        <v>104</v>
      </c>
      <c r="G11" s="313">
        <v>681.21</v>
      </c>
      <c r="H11" s="303">
        <v>104</v>
      </c>
      <c r="I11" s="279">
        <v>518.51</v>
      </c>
      <c r="J11" s="303">
        <v>104</v>
      </c>
      <c r="K11" s="322">
        <v>606.29</v>
      </c>
      <c r="L11" s="303">
        <v>104</v>
      </c>
      <c r="M11" s="280">
        <v>466.56</v>
      </c>
    </row>
    <row r="12" spans="1:24">
      <c r="A12" s="5" t="s">
        <v>14</v>
      </c>
      <c r="B12" s="432">
        <v>39</v>
      </c>
      <c r="C12" s="281">
        <v>61.4</v>
      </c>
      <c r="D12" s="432">
        <v>39</v>
      </c>
      <c r="E12" s="281">
        <v>81.41</v>
      </c>
      <c r="F12" s="432">
        <v>39</v>
      </c>
      <c r="G12" s="281">
        <v>128.5</v>
      </c>
      <c r="H12" s="432">
        <v>39</v>
      </c>
      <c r="I12" s="281">
        <v>182.58</v>
      </c>
      <c r="J12" s="432">
        <v>39</v>
      </c>
      <c r="K12" s="323">
        <v>79.010000000000005</v>
      </c>
      <c r="L12" s="432">
        <v>39</v>
      </c>
      <c r="M12" s="282">
        <v>169.47</v>
      </c>
    </row>
    <row r="13" spans="1:24" ht="15.75" thickBot="1">
      <c r="A13" s="6" t="s">
        <v>15</v>
      </c>
      <c r="B13" s="432">
        <v>16</v>
      </c>
      <c r="C13" s="281">
        <v>308.11</v>
      </c>
      <c r="D13" s="432">
        <v>16</v>
      </c>
      <c r="E13" s="281">
        <v>282.05</v>
      </c>
      <c r="F13" s="432">
        <v>16</v>
      </c>
      <c r="G13" s="315">
        <v>291.05</v>
      </c>
      <c r="H13" s="432">
        <v>16</v>
      </c>
      <c r="I13" s="319">
        <v>219.77</v>
      </c>
      <c r="J13" s="432">
        <v>16</v>
      </c>
      <c r="K13" s="323">
        <v>270.60000000000002</v>
      </c>
      <c r="L13" s="432">
        <v>16</v>
      </c>
      <c r="M13" s="282">
        <v>221.99</v>
      </c>
    </row>
    <row r="14" spans="1:24" ht="15.75" thickBot="1">
      <c r="A14" s="38" t="s">
        <v>109</v>
      </c>
      <c r="B14" s="18">
        <f t="shared" ref="B14:M14" si="0">B11+B12+B13</f>
        <v>159</v>
      </c>
      <c r="C14" s="278">
        <f t="shared" si="0"/>
        <v>982.36</v>
      </c>
      <c r="D14" s="18">
        <f t="shared" si="0"/>
        <v>159</v>
      </c>
      <c r="E14" s="278">
        <f t="shared" si="0"/>
        <v>920.07999999999993</v>
      </c>
      <c r="F14" s="18">
        <f t="shared" si="0"/>
        <v>159</v>
      </c>
      <c r="G14" s="278">
        <f t="shared" si="0"/>
        <v>1100.76</v>
      </c>
      <c r="H14" s="18">
        <f t="shared" si="0"/>
        <v>159</v>
      </c>
      <c r="I14" s="278">
        <f t="shared" si="0"/>
        <v>920.86</v>
      </c>
      <c r="J14" s="18">
        <f t="shared" si="0"/>
        <v>159</v>
      </c>
      <c r="K14" s="278">
        <f t="shared" si="0"/>
        <v>955.9</v>
      </c>
      <c r="L14" s="277">
        <f t="shared" si="0"/>
        <v>159</v>
      </c>
      <c r="M14" s="278">
        <f t="shared" si="0"/>
        <v>858.02</v>
      </c>
    </row>
    <row r="15" spans="1:24" ht="6" customHeight="1">
      <c r="G15" s="283"/>
    </row>
    <row r="16" spans="1:24" ht="15.75" thickBot="1">
      <c r="A16" s="31"/>
    </row>
    <row r="17" spans="1:15">
      <c r="A17" s="543" t="s">
        <v>4</v>
      </c>
      <c r="B17" s="539">
        <v>43647</v>
      </c>
      <c r="C17" s="540"/>
      <c r="D17" s="539">
        <v>43678</v>
      </c>
      <c r="E17" s="540"/>
      <c r="F17" s="539">
        <v>43709</v>
      </c>
      <c r="G17" s="540"/>
      <c r="H17" s="539">
        <v>43739</v>
      </c>
      <c r="I17" s="540"/>
      <c r="J17" s="539">
        <v>43770</v>
      </c>
      <c r="K17" s="540"/>
      <c r="L17" s="539">
        <v>43800</v>
      </c>
      <c r="M17" s="540"/>
      <c r="N17" s="541" t="s">
        <v>300</v>
      </c>
      <c r="O17" s="542"/>
    </row>
    <row r="18" spans="1:15" ht="15.75" thickBot="1">
      <c r="A18" s="544"/>
      <c r="B18" s="67" t="s">
        <v>108</v>
      </c>
      <c r="C18" s="100" t="s">
        <v>147</v>
      </c>
      <c r="D18" s="67" t="s">
        <v>108</v>
      </c>
      <c r="E18" s="100" t="s">
        <v>147</v>
      </c>
      <c r="F18" s="67" t="s">
        <v>108</v>
      </c>
      <c r="G18" s="100" t="s">
        <v>147</v>
      </c>
      <c r="H18" s="67" t="s">
        <v>108</v>
      </c>
      <c r="I18" s="100" t="s">
        <v>147</v>
      </c>
      <c r="J18" s="67" t="s">
        <v>108</v>
      </c>
      <c r="K18" s="100" t="s">
        <v>147</v>
      </c>
      <c r="L18" s="67" t="s">
        <v>108</v>
      </c>
      <c r="M18" s="100" t="s">
        <v>147</v>
      </c>
      <c r="N18" s="67" t="s">
        <v>108</v>
      </c>
      <c r="O18" s="100" t="s">
        <v>147</v>
      </c>
    </row>
    <row r="19" spans="1:15">
      <c r="A19" s="4" t="s">
        <v>6</v>
      </c>
      <c r="B19" s="303">
        <v>104</v>
      </c>
      <c r="C19" s="345">
        <v>540.73</v>
      </c>
      <c r="D19" s="303">
        <v>104</v>
      </c>
      <c r="E19" s="347">
        <v>555.99</v>
      </c>
      <c r="F19" s="303">
        <v>104</v>
      </c>
      <c r="G19" s="347">
        <v>574.34</v>
      </c>
      <c r="H19" s="303">
        <v>104</v>
      </c>
      <c r="I19" s="347">
        <v>558.79999999999995</v>
      </c>
      <c r="J19" s="303">
        <v>104</v>
      </c>
      <c r="K19" s="279">
        <v>559.45000000000005</v>
      </c>
      <c r="L19" s="303">
        <v>104</v>
      </c>
      <c r="M19" s="279">
        <v>299.26</v>
      </c>
      <c r="N19" s="14">
        <f>(B11+D11+F11+H11+J11+L11+B19+D19+F19+H19+J19+L19)/12</f>
        <v>104</v>
      </c>
      <c r="O19" s="57">
        <f>C11+E11+G11+I11+K11+M11+C19+E19+G19+I19+K19+M19</f>
        <v>6530.6100000000006</v>
      </c>
    </row>
    <row r="20" spans="1:15">
      <c r="A20" s="5" t="s">
        <v>14</v>
      </c>
      <c r="B20" s="432">
        <v>39</v>
      </c>
      <c r="C20" s="346">
        <v>106.68</v>
      </c>
      <c r="D20" s="432">
        <v>39</v>
      </c>
      <c r="E20" s="348">
        <v>72.13</v>
      </c>
      <c r="F20" s="432">
        <v>39</v>
      </c>
      <c r="G20" s="348">
        <v>138.12</v>
      </c>
      <c r="H20" s="432">
        <v>39</v>
      </c>
      <c r="I20" s="348">
        <v>121.85</v>
      </c>
      <c r="J20" s="432">
        <v>39</v>
      </c>
      <c r="K20" s="281">
        <v>193.28</v>
      </c>
      <c r="L20" s="432">
        <v>39</v>
      </c>
      <c r="M20" s="348">
        <v>162.68</v>
      </c>
      <c r="N20" s="16">
        <f>(B12+D12+F12+H12+J12+L12+B20+D20+F20+H20+J20+L20)/12</f>
        <v>39</v>
      </c>
      <c r="O20" s="63">
        <f>C12+E12+G12+I12+K12+M12+C20+E20+G20+I20+K20+M20</f>
        <v>1497.11</v>
      </c>
    </row>
    <row r="21" spans="1:15" ht="15.75" thickBot="1">
      <c r="A21" s="6" t="s">
        <v>15</v>
      </c>
      <c r="B21" s="432">
        <v>16</v>
      </c>
      <c r="C21" s="346">
        <v>154.61000000000001</v>
      </c>
      <c r="D21" s="432">
        <v>16</v>
      </c>
      <c r="E21" s="348">
        <v>312.3</v>
      </c>
      <c r="F21" s="432">
        <v>16</v>
      </c>
      <c r="G21" s="348">
        <v>333.61</v>
      </c>
      <c r="H21" s="432">
        <v>16</v>
      </c>
      <c r="I21" s="348">
        <v>213.58</v>
      </c>
      <c r="J21" s="432">
        <v>16</v>
      </c>
      <c r="K21" s="281">
        <v>200.11</v>
      </c>
      <c r="L21" s="432">
        <v>16</v>
      </c>
      <c r="M21" s="281">
        <v>56.21</v>
      </c>
      <c r="N21" s="20">
        <f>(B13+D13+F13+H13+J13+L13+B21+D21+F21+H21+J21+L21)/12</f>
        <v>16</v>
      </c>
      <c r="O21" s="94">
        <f>C13+E13+G13+I13+K13+M13+C21+E21+G21+I21+K21+M21</f>
        <v>2863.9900000000002</v>
      </c>
    </row>
    <row r="22" spans="1:15" ht="15.75" thickBot="1">
      <c r="A22" s="38" t="s">
        <v>109</v>
      </c>
      <c r="B22" s="18">
        <f t="shared" ref="B22:O22" si="1">B19+B20+B21</f>
        <v>159</v>
      </c>
      <c r="C22" s="278">
        <f t="shared" si="1"/>
        <v>802.0200000000001</v>
      </c>
      <c r="D22" s="18">
        <f t="shared" si="1"/>
        <v>159</v>
      </c>
      <c r="E22" s="278">
        <f t="shared" si="1"/>
        <v>940.42000000000007</v>
      </c>
      <c r="F22" s="18">
        <f t="shared" si="1"/>
        <v>159</v>
      </c>
      <c r="G22" s="278">
        <f t="shared" si="1"/>
        <v>1046.0700000000002</v>
      </c>
      <c r="H22" s="18">
        <f t="shared" si="1"/>
        <v>159</v>
      </c>
      <c r="I22" s="284">
        <f t="shared" si="1"/>
        <v>894.23</v>
      </c>
      <c r="J22" s="18">
        <f t="shared" si="1"/>
        <v>159</v>
      </c>
      <c r="K22" s="278">
        <f t="shared" si="1"/>
        <v>952.84</v>
      </c>
      <c r="L22" s="18">
        <f t="shared" si="1"/>
        <v>159</v>
      </c>
      <c r="M22" s="278">
        <f t="shared" si="1"/>
        <v>518.15</v>
      </c>
      <c r="N22" s="18">
        <f t="shared" si="1"/>
        <v>159</v>
      </c>
      <c r="O22" s="66">
        <f t="shared" si="1"/>
        <v>10891.710000000001</v>
      </c>
    </row>
    <row r="23" spans="1:15" ht="6" customHeight="1"/>
    <row r="25" spans="1:15">
      <c r="N25" s="1">
        <f>45983.11-17555.4</f>
        <v>28427.71</v>
      </c>
      <c r="O25" s="141">
        <f>19258.05-17555.4</f>
        <v>1702.6499999999978</v>
      </c>
    </row>
    <row r="26" spans="1:15">
      <c r="N26" s="507">
        <f>N25/45983.11</f>
        <v>0.61822069016210512</v>
      </c>
      <c r="O26" s="507">
        <f>O25/19258.05</f>
        <v>8.8412378200284969E-2</v>
      </c>
    </row>
    <row r="27" spans="1:15">
      <c r="A27" s="31" t="s">
        <v>1</v>
      </c>
    </row>
    <row r="28" spans="1:15">
      <c r="A28" s="31" t="s">
        <v>105</v>
      </c>
    </row>
    <row r="29" spans="1:15" ht="15.75" thickBot="1">
      <c r="A29" s="31" t="s">
        <v>107</v>
      </c>
    </row>
    <row r="30" spans="1:15">
      <c r="A30" s="545" t="s">
        <v>4</v>
      </c>
      <c r="B30" s="513">
        <v>43466</v>
      </c>
      <c r="C30" s="547"/>
      <c r="D30" s="513">
        <v>43497</v>
      </c>
      <c r="E30" s="547"/>
      <c r="F30" s="513">
        <v>43525</v>
      </c>
      <c r="G30" s="547"/>
      <c r="H30" s="513">
        <v>43556</v>
      </c>
      <c r="I30" s="547"/>
      <c r="J30" s="513">
        <v>43586</v>
      </c>
      <c r="K30" s="547"/>
      <c r="L30" s="513">
        <v>43617</v>
      </c>
      <c r="M30" s="547"/>
    </row>
    <row r="31" spans="1:15" ht="15.75" thickBot="1">
      <c r="A31" s="546"/>
      <c r="B31" s="67" t="s">
        <v>108</v>
      </c>
      <c r="C31" s="100" t="s">
        <v>147</v>
      </c>
      <c r="D31" s="67" t="s">
        <v>108</v>
      </c>
      <c r="E31" s="100" t="s">
        <v>147</v>
      </c>
      <c r="F31" s="67" t="s">
        <v>108</v>
      </c>
      <c r="G31" s="100" t="s">
        <v>147</v>
      </c>
      <c r="H31" s="67" t="s">
        <v>108</v>
      </c>
      <c r="I31" s="100" t="s">
        <v>147</v>
      </c>
      <c r="J31" s="67" t="s">
        <v>108</v>
      </c>
      <c r="K31" s="100" t="s">
        <v>147</v>
      </c>
      <c r="L31" s="67" t="s">
        <v>108</v>
      </c>
      <c r="M31" s="100" t="s">
        <v>147</v>
      </c>
    </row>
    <row r="32" spans="1:15">
      <c r="A32" s="4" t="s">
        <v>6</v>
      </c>
      <c r="B32" s="305">
        <v>6</v>
      </c>
      <c r="C32" s="306">
        <v>284.37</v>
      </c>
      <c r="D32" s="305">
        <v>6</v>
      </c>
      <c r="E32" s="306">
        <v>268.8</v>
      </c>
      <c r="F32" s="305">
        <v>6</v>
      </c>
      <c r="G32" s="314">
        <v>276.93</v>
      </c>
      <c r="H32" s="305">
        <v>6</v>
      </c>
      <c r="I32" s="314">
        <v>281.3</v>
      </c>
      <c r="J32" s="305">
        <v>6</v>
      </c>
      <c r="K32" s="324">
        <v>268.94</v>
      </c>
      <c r="L32" s="305">
        <v>6</v>
      </c>
      <c r="M32" s="286">
        <v>276.25</v>
      </c>
    </row>
    <row r="33" spans="1:15">
      <c r="A33" s="5" t="s">
        <v>14</v>
      </c>
      <c r="B33" s="432">
        <v>4</v>
      </c>
      <c r="C33" s="287">
        <v>133.62</v>
      </c>
      <c r="D33" s="432">
        <v>4</v>
      </c>
      <c r="E33" s="287">
        <v>128.88</v>
      </c>
      <c r="F33" s="432">
        <v>4</v>
      </c>
      <c r="G33" s="287">
        <v>128.88</v>
      </c>
      <c r="H33" s="432">
        <v>4</v>
      </c>
      <c r="I33" s="348">
        <v>129.38</v>
      </c>
      <c r="J33" s="432">
        <v>4</v>
      </c>
      <c r="K33" s="325">
        <v>128.88</v>
      </c>
      <c r="L33" s="432">
        <v>4</v>
      </c>
      <c r="M33" s="288">
        <v>148.16999999999999</v>
      </c>
    </row>
    <row r="34" spans="1:15" ht="15.75" thickBot="1">
      <c r="A34" s="6" t="s">
        <v>15</v>
      </c>
      <c r="B34" s="432">
        <v>2</v>
      </c>
      <c r="C34" s="287">
        <v>158.86000000000001</v>
      </c>
      <c r="D34" s="432">
        <v>2</v>
      </c>
      <c r="E34" s="287">
        <v>145.72999999999999</v>
      </c>
      <c r="F34" s="432">
        <v>2</v>
      </c>
      <c r="G34" s="316">
        <v>153.77000000000001</v>
      </c>
      <c r="H34" s="432">
        <v>2</v>
      </c>
      <c r="I34" s="348">
        <v>136.34</v>
      </c>
      <c r="J34" s="432">
        <v>2</v>
      </c>
      <c r="K34" s="325">
        <v>147.04</v>
      </c>
      <c r="L34" s="432">
        <v>2</v>
      </c>
      <c r="M34" s="288">
        <v>142.47999999999999</v>
      </c>
    </row>
    <row r="35" spans="1:15" ht="15.75" thickBot="1">
      <c r="A35" s="38" t="s">
        <v>110</v>
      </c>
      <c r="B35" s="18">
        <f t="shared" ref="B35:M35" si="2">B32+B33+B34</f>
        <v>12</v>
      </c>
      <c r="C35" s="284">
        <f t="shared" si="2"/>
        <v>576.85</v>
      </c>
      <c r="D35" s="18">
        <f t="shared" si="2"/>
        <v>12</v>
      </c>
      <c r="E35" s="284">
        <f t="shared" si="2"/>
        <v>543.41</v>
      </c>
      <c r="F35" s="18">
        <f t="shared" si="2"/>
        <v>12</v>
      </c>
      <c r="G35" s="284">
        <f t="shared" si="2"/>
        <v>559.58000000000004</v>
      </c>
      <c r="H35" s="18">
        <f t="shared" si="2"/>
        <v>12</v>
      </c>
      <c r="I35" s="284">
        <f t="shared" si="2"/>
        <v>547.02</v>
      </c>
      <c r="J35" s="18">
        <f t="shared" si="2"/>
        <v>12</v>
      </c>
      <c r="K35" s="284">
        <f t="shared" si="2"/>
        <v>544.86</v>
      </c>
      <c r="L35" s="18">
        <f t="shared" si="2"/>
        <v>12</v>
      </c>
      <c r="M35" s="284">
        <f t="shared" si="2"/>
        <v>566.9</v>
      </c>
    </row>
    <row r="36" spans="1:15" ht="6" customHeight="1"/>
    <row r="37" spans="1:15" ht="15.75" thickBot="1">
      <c r="A37" s="31"/>
    </row>
    <row r="38" spans="1:15">
      <c r="A38" s="543" t="s">
        <v>4</v>
      </c>
      <c r="B38" s="539">
        <v>43647</v>
      </c>
      <c r="C38" s="540"/>
      <c r="D38" s="539">
        <v>43678</v>
      </c>
      <c r="E38" s="540"/>
      <c r="F38" s="539">
        <v>43709</v>
      </c>
      <c r="G38" s="540"/>
      <c r="H38" s="539">
        <v>43739</v>
      </c>
      <c r="I38" s="540"/>
      <c r="J38" s="539">
        <v>43770</v>
      </c>
      <c r="K38" s="540"/>
      <c r="L38" s="539">
        <v>43800</v>
      </c>
      <c r="M38" s="540"/>
      <c r="N38" s="541" t="s">
        <v>300</v>
      </c>
      <c r="O38" s="542"/>
    </row>
    <row r="39" spans="1:15" ht="15.75" thickBot="1">
      <c r="A39" s="544"/>
      <c r="B39" s="67" t="s">
        <v>108</v>
      </c>
      <c r="C39" s="100" t="s">
        <v>147</v>
      </c>
      <c r="D39" s="67" t="s">
        <v>108</v>
      </c>
      <c r="E39" s="100" t="s">
        <v>147</v>
      </c>
      <c r="F39" s="67" t="s">
        <v>108</v>
      </c>
      <c r="G39" s="100" t="s">
        <v>147</v>
      </c>
      <c r="H39" s="67" t="s">
        <v>108</v>
      </c>
      <c r="I39" s="100" t="s">
        <v>147</v>
      </c>
      <c r="J39" s="67" t="s">
        <v>108</v>
      </c>
      <c r="K39" s="100" t="s">
        <v>147</v>
      </c>
      <c r="L39" s="67" t="s">
        <v>108</v>
      </c>
      <c r="M39" s="100" t="s">
        <v>147</v>
      </c>
      <c r="N39" s="67" t="s">
        <v>108</v>
      </c>
      <c r="O39" s="100" t="s">
        <v>147</v>
      </c>
    </row>
    <row r="40" spans="1:15">
      <c r="A40" s="4" t="s">
        <v>6</v>
      </c>
      <c r="B40" s="305">
        <v>6</v>
      </c>
      <c r="C40" s="347">
        <v>270.83999999999997</v>
      </c>
      <c r="D40" s="305">
        <v>6</v>
      </c>
      <c r="E40" s="347">
        <v>264.88</v>
      </c>
      <c r="F40" s="305">
        <v>6</v>
      </c>
      <c r="G40" s="347">
        <v>273.08</v>
      </c>
      <c r="H40" s="305">
        <v>6</v>
      </c>
      <c r="I40" s="347">
        <v>260.93</v>
      </c>
      <c r="J40" s="305">
        <v>6</v>
      </c>
      <c r="K40" s="285">
        <v>280.02999999999997</v>
      </c>
      <c r="L40" s="305">
        <v>6</v>
      </c>
      <c r="M40" s="285">
        <v>261.77999999999997</v>
      </c>
      <c r="N40" s="14">
        <f>(B32+D32+F32+H32+J32+L32+B40+D40+F40+H40+J40+L40)/12</f>
        <v>6</v>
      </c>
      <c r="O40" s="57">
        <f>C32+E32+G32+I32+K32+M32+C40+E40+G40+I40+K40+M40</f>
        <v>3268.1299999999992</v>
      </c>
    </row>
    <row r="41" spans="1:15">
      <c r="A41" s="5" t="s">
        <v>14</v>
      </c>
      <c r="B41" s="432">
        <v>4</v>
      </c>
      <c r="C41" s="348">
        <v>129.12</v>
      </c>
      <c r="D41" s="432">
        <v>4</v>
      </c>
      <c r="E41" s="348">
        <v>129.47999999999999</v>
      </c>
      <c r="F41" s="432">
        <v>4</v>
      </c>
      <c r="G41" s="348">
        <v>141.77000000000001</v>
      </c>
      <c r="H41" s="432">
        <v>4</v>
      </c>
      <c r="I41" s="348">
        <v>140.26</v>
      </c>
      <c r="J41" s="432">
        <v>4</v>
      </c>
      <c r="K41" s="287">
        <v>130.15</v>
      </c>
      <c r="L41" s="432">
        <v>4</v>
      </c>
      <c r="M41" s="287">
        <v>139.65</v>
      </c>
      <c r="N41" s="16">
        <f>(B33+D33+F33+H33+J33+L33+B41+D41+F41+H41+J41+L41)/12</f>
        <v>4</v>
      </c>
      <c r="O41" s="63">
        <f>C33+E33+G33+I33+K33+M33+C41+E41+G41+I41+K41+M41</f>
        <v>1608.24</v>
      </c>
    </row>
    <row r="42" spans="1:15" ht="15.75" thickBot="1">
      <c r="A42" s="6" t="s">
        <v>15</v>
      </c>
      <c r="B42" s="432">
        <v>2</v>
      </c>
      <c r="C42" s="348">
        <v>157.25</v>
      </c>
      <c r="D42" s="432">
        <v>2</v>
      </c>
      <c r="E42" s="348">
        <v>168.34</v>
      </c>
      <c r="F42" s="432">
        <v>2</v>
      </c>
      <c r="G42" s="348">
        <v>143.05000000000001</v>
      </c>
      <c r="H42" s="432">
        <v>2</v>
      </c>
      <c r="I42" s="348">
        <v>147.30000000000001</v>
      </c>
      <c r="J42" s="432">
        <v>2</v>
      </c>
      <c r="K42" s="287">
        <v>149.34</v>
      </c>
      <c r="L42" s="432">
        <v>2</v>
      </c>
      <c r="M42" s="287">
        <v>137.82</v>
      </c>
      <c r="N42" s="20">
        <f>(B34+D34+F34+H34+J34+L34+B42+D42+F42+H42+J42+L42)/12</f>
        <v>2</v>
      </c>
      <c r="O42" s="94">
        <f>C34+E34+G34+I34+K34+M34+C42+E42+G42+I42+K42+M42</f>
        <v>1787.3199999999997</v>
      </c>
    </row>
    <row r="43" spans="1:15" ht="15.75" thickBot="1">
      <c r="A43" s="38" t="s">
        <v>110</v>
      </c>
      <c r="B43" s="18">
        <f t="shared" ref="B43:O43" si="3">B40+B41+B42</f>
        <v>12</v>
      </c>
      <c r="C43" s="284">
        <f t="shared" si="3"/>
        <v>557.21</v>
      </c>
      <c r="D43" s="18">
        <f t="shared" si="3"/>
        <v>12</v>
      </c>
      <c r="E43" s="284">
        <f t="shared" si="3"/>
        <v>562.70000000000005</v>
      </c>
      <c r="F43" s="18">
        <f t="shared" si="3"/>
        <v>12</v>
      </c>
      <c r="G43" s="284">
        <f t="shared" si="3"/>
        <v>557.90000000000009</v>
      </c>
      <c r="H43" s="18">
        <f t="shared" si="3"/>
        <v>12</v>
      </c>
      <c r="I43" s="284">
        <f t="shared" si="3"/>
        <v>548.49</v>
      </c>
      <c r="J43" s="18">
        <f t="shared" si="3"/>
        <v>12</v>
      </c>
      <c r="K43" s="284">
        <f t="shared" si="3"/>
        <v>559.52</v>
      </c>
      <c r="L43" s="18">
        <f t="shared" si="3"/>
        <v>12</v>
      </c>
      <c r="M43" s="284">
        <f t="shared" si="3"/>
        <v>539.25</v>
      </c>
      <c r="N43" s="18">
        <f t="shared" si="3"/>
        <v>12</v>
      </c>
      <c r="O43" s="66">
        <f t="shared" si="3"/>
        <v>6663.6899999999987</v>
      </c>
    </row>
    <row r="47" spans="1:15">
      <c r="B47" s="283">
        <f>C11+E11+G11</f>
        <v>1850.68</v>
      </c>
      <c r="C47" s="283">
        <f>C12+E12+G12</f>
        <v>271.31</v>
      </c>
      <c r="D47" s="283">
        <f>C13+E13+G13</f>
        <v>881.21</v>
      </c>
      <c r="H47" s="283">
        <f>C32+E32+G32</f>
        <v>830.10000000000014</v>
      </c>
      <c r="I47" s="283">
        <f>C33+E33+G33</f>
        <v>391.38</v>
      </c>
      <c r="J47" s="283">
        <f>C34+E34+G34</f>
        <v>458.36</v>
      </c>
    </row>
    <row r="48" spans="1:15">
      <c r="B48" s="283">
        <f>I11+K11+M11</f>
        <v>1591.36</v>
      </c>
      <c r="C48" s="283">
        <f>I12+K12+M12</f>
        <v>431.06000000000006</v>
      </c>
      <c r="D48" s="283">
        <f>I13+K13+M13</f>
        <v>712.36</v>
      </c>
      <c r="H48" s="283">
        <f>I32+K32+M32</f>
        <v>826.49</v>
      </c>
      <c r="I48" s="283">
        <f>I33+K33+M33</f>
        <v>406.42999999999995</v>
      </c>
      <c r="J48" s="283">
        <f>I34+K34+M34</f>
        <v>425.86</v>
      </c>
    </row>
    <row r="49" spans="2:10">
      <c r="B49" s="283">
        <f>C19+E19+G19</f>
        <v>1671.06</v>
      </c>
      <c r="C49" s="283">
        <f>C20+E20+G20</f>
        <v>316.93</v>
      </c>
      <c r="D49" s="283">
        <f>C21+E21+G21</f>
        <v>800.52</v>
      </c>
      <c r="E49" s="366"/>
      <c r="F49" s="366"/>
      <c r="G49" s="366"/>
      <c r="H49" s="283">
        <f>C40+E40+G40</f>
        <v>808.8</v>
      </c>
      <c r="I49" s="283">
        <f>C41+E41+G41</f>
        <v>400.37</v>
      </c>
      <c r="J49" s="283">
        <f>C42+E42+G42</f>
        <v>468.64000000000004</v>
      </c>
    </row>
    <row r="50" spans="2:10">
      <c r="B50" s="283">
        <f>I19+K19+M19</f>
        <v>1417.51</v>
      </c>
      <c r="C50" s="283">
        <f>I20+K20+M20</f>
        <v>477.81</v>
      </c>
      <c r="D50" s="283">
        <f>I21+K21+M21</f>
        <v>469.90000000000003</v>
      </c>
      <c r="E50" s="366"/>
      <c r="F50" s="366"/>
      <c r="G50" s="366"/>
      <c r="H50" s="283">
        <f>I40+K40+M40</f>
        <v>802.74</v>
      </c>
      <c r="I50" s="283">
        <f>I41+K41+M41</f>
        <v>410.05999999999995</v>
      </c>
      <c r="J50" s="283">
        <f>I42+K42+M42</f>
        <v>434.46</v>
      </c>
    </row>
    <row r="51" spans="2:10">
      <c r="E51" s="366"/>
      <c r="F51" s="366"/>
      <c r="G51" s="366"/>
      <c r="H51" s="375"/>
    </row>
    <row r="52" spans="2:10">
      <c r="B52" s="283">
        <f>SUM(B47:B51)</f>
        <v>6530.6100000000006</v>
      </c>
      <c r="C52" s="283">
        <f t="shared" ref="C52:J52" si="4">SUM(C47:C51)</f>
        <v>1497.1100000000001</v>
      </c>
      <c r="D52" s="283">
        <f t="shared" si="4"/>
        <v>2863.9900000000002</v>
      </c>
      <c r="E52" s="283"/>
      <c r="F52" s="283"/>
      <c r="G52" s="283"/>
      <c r="H52" s="283">
        <f t="shared" si="4"/>
        <v>3268.13</v>
      </c>
      <c r="I52" s="283">
        <f t="shared" si="4"/>
        <v>1608.2399999999998</v>
      </c>
      <c r="J52" s="283">
        <f t="shared" si="4"/>
        <v>1787.3200000000002</v>
      </c>
    </row>
  </sheetData>
  <protectedRanges>
    <protectedRange sqref="C11:C13 K19:K21 C19:C21 C32:C34 G32:G34 K40:K42 C40:C42 E11:E13 G11:G13 I11:I13 K11:K13 M11:M13 M19:M21 I32:I34 K32:K34 M32:M34 M40:M42" name="Intervalo2" securityDescriptor="O:WDG:WDD:(A;;CC;;;WD)"/>
    <protectedRange sqref="E19:E21" name="Intervalo2_1" securityDescriptor="O:WDG:WDD:(A;;CC;;;WD)"/>
    <protectedRange sqref="E40:E42" name="Intervalo2_2" securityDescriptor="O:WDG:WDD:(A;;CC;;;WD)"/>
    <protectedRange sqref="G19:G21" name="Intervalo2_3" securityDescriptor="O:WDG:WDD:(A;;CC;;;WD)"/>
    <protectedRange sqref="G40:G42" name="Intervalo2_4" securityDescriptor="O:WDG:WDD:(A;;CC;;;WD)"/>
    <protectedRange sqref="I19:I21" name="Intervalo2_5" securityDescriptor="O:WDG:WDD:(A;;CC;;;WD)"/>
    <protectedRange sqref="I40:I42" name="Intervalo2_6" securityDescriptor="O:WDG:WDD:(A;;CC;;;WD)"/>
    <protectedRange sqref="B11:B13" name="Intervalo2_7" securityDescriptor="O:WDG:WDD:(A;;CC;;;WD)"/>
    <protectedRange sqref="D11:D13" name="Intervalo2_8" securityDescriptor="O:WDG:WDD:(A;;CC;;;WD)"/>
    <protectedRange sqref="F11:F13" name="Intervalo2_9" securityDescriptor="O:WDG:WDD:(A;;CC;;;WD)"/>
    <protectedRange sqref="H11:H13" name="Intervalo2_10" securityDescriptor="O:WDG:WDD:(A;;CC;;;WD)"/>
    <protectedRange sqref="J11:J13" name="Intervalo2_11" securityDescriptor="O:WDG:WDD:(A;;CC;;;WD)"/>
    <protectedRange sqref="L11:L13" name="Intervalo2_12" securityDescriptor="O:WDG:WDD:(A;;CC;;;WD)"/>
    <protectedRange sqref="L19:L21" name="Intervalo2_13" securityDescriptor="O:WDG:WDD:(A;;CC;;;WD)"/>
    <protectedRange sqref="J19:J21" name="Intervalo2_14" securityDescriptor="O:WDG:WDD:(A;;CC;;;WD)"/>
    <protectedRange sqref="H19:H21" name="Intervalo2_15" securityDescriptor="O:WDG:WDD:(A;;CC;;;WD)"/>
    <protectedRange sqref="F19:F21" name="Intervalo2_16" securityDescriptor="O:WDG:WDD:(A;;CC;;;WD)"/>
    <protectedRange sqref="D19:D21" name="Intervalo2_17" securityDescriptor="O:WDG:WDD:(A;;CC;;;WD)"/>
    <protectedRange sqref="B19:B21" name="Intervalo2_18" securityDescriptor="O:WDG:WDD:(A;;CC;;;WD)"/>
    <protectedRange sqref="B32:B34" name="Intervalo2_19" securityDescriptor="O:WDG:WDD:(A;;CC;;;WD)"/>
    <protectedRange sqref="B40:B42" name="Intervalo2_20" securityDescriptor="O:WDG:WDD:(A;;CC;;;WD)"/>
    <protectedRange sqref="D32:D34" name="Intervalo2_21" securityDescriptor="O:WDG:WDD:(A;;CC;;;WD)"/>
    <protectedRange sqref="D40:D42" name="Intervalo2_22" securityDescriptor="O:WDG:WDD:(A;;CC;;;WD)"/>
    <protectedRange sqref="F32:F34" name="Intervalo2_23" securityDescriptor="O:WDG:WDD:(A;;CC;;;WD)"/>
    <protectedRange sqref="F40:F42" name="Intervalo2_24" securityDescriptor="O:WDG:WDD:(A;;CC;;;WD)"/>
    <protectedRange sqref="H32:H34" name="Intervalo2_25" securityDescriptor="O:WDG:WDD:(A;;CC;;;WD)"/>
    <protectedRange sqref="H40:H42" name="Intervalo2_26" securityDescriptor="O:WDG:WDD:(A;;CC;;;WD)"/>
    <protectedRange sqref="J32:J34" name="Intervalo2_27" securityDescriptor="O:WDG:WDD:(A;;CC;;;WD)"/>
    <protectedRange sqref="J40:J42" name="Intervalo2_28" securityDescriptor="O:WDG:WDD:(A;;CC;;;WD)"/>
    <protectedRange sqref="L32:L34" name="Intervalo2_29" securityDescriptor="O:WDG:WDD:(A;;CC;;;WD)"/>
    <protectedRange sqref="L40:L42" name="Intervalo2_30" securityDescriptor="O:WDG:WDD:(A;;CC;;;WD)"/>
  </protectedRanges>
  <customSheetViews>
    <customSheetView guid="{DFED14A5-FC7F-4CB0-A970-C00E731629C6}" scale="85">
      <selection activeCell="Q34" sqref="Q34"/>
      <pageMargins left="0.511811024" right="0.511811024" top="0.78740157499999996" bottom="0.78740157499999996" header="0.31496062000000002" footer="0.31496062000000002"/>
    </customSheetView>
  </customSheetViews>
  <mergeCells count="32">
    <mergeCell ref="J9:K9"/>
    <mergeCell ref="L9:M9"/>
    <mergeCell ref="A9:A10"/>
    <mergeCell ref="B9:C9"/>
    <mergeCell ref="D9:E9"/>
    <mergeCell ref="F9:G9"/>
    <mergeCell ref="H9:I9"/>
    <mergeCell ref="H30:I30"/>
    <mergeCell ref="J30:K30"/>
    <mergeCell ref="L30:M30"/>
    <mergeCell ref="A17:A18"/>
    <mergeCell ref="B17:C17"/>
    <mergeCell ref="D17:E17"/>
    <mergeCell ref="F17:G17"/>
    <mergeCell ref="H17:I17"/>
    <mergeCell ref="J17:K17"/>
    <mergeCell ref="L38:M38"/>
    <mergeCell ref="N38:O38"/>
    <mergeCell ref="B1:L2"/>
    <mergeCell ref="B3:L4"/>
    <mergeCell ref="A38:A39"/>
    <mergeCell ref="B38:C38"/>
    <mergeCell ref="D38:E38"/>
    <mergeCell ref="F38:G38"/>
    <mergeCell ref="H38:I38"/>
    <mergeCell ref="J38:K38"/>
    <mergeCell ref="L17:M17"/>
    <mergeCell ref="N17:O17"/>
    <mergeCell ref="A30:A31"/>
    <mergeCell ref="B30:C30"/>
    <mergeCell ref="D30:E30"/>
    <mergeCell ref="F30:G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Papel</vt:lpstr>
      <vt:lpstr>Descartáveis</vt:lpstr>
      <vt:lpstr>Água Engarrafada</vt:lpstr>
      <vt:lpstr>Impressões</vt:lpstr>
      <vt:lpstr>Energia</vt:lpstr>
      <vt:lpstr>Água</vt:lpstr>
      <vt:lpstr>Resíduos</vt:lpstr>
      <vt:lpstr>Qualidade de Vida</vt:lpstr>
      <vt:lpstr>Telefonia</vt:lpstr>
      <vt:lpstr>Vigilância</vt:lpstr>
      <vt:lpstr>Limpeza</vt:lpstr>
      <vt:lpstr>Reformas</vt:lpstr>
      <vt:lpstr>Veículos</vt:lpstr>
      <vt:lpstr>Sensibilização</vt:lpstr>
      <vt:lpstr>Indicadores - Mensais</vt:lpstr>
      <vt:lpstr>Indicadores - Semestrais</vt:lpstr>
      <vt:lpstr>Indicadores - Anuais</vt:lpstr>
      <vt:lpstr>Lista de 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to20121</dc:creator>
  <cp:lastModifiedBy>to20121</cp:lastModifiedBy>
  <cp:lastPrinted>2018-03-08T19:17:22Z</cp:lastPrinted>
  <dcterms:created xsi:type="dcterms:W3CDTF">2016-03-03T21:28:40Z</dcterms:created>
  <dcterms:modified xsi:type="dcterms:W3CDTF">2020-02-06T16:26:21Z</dcterms:modified>
</cp:coreProperties>
</file>