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59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queryTables/queryTable19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57.xml" ContentType="application/vnd.openxmlformats-officedocument.spreadsheetml.queryTable+xml"/>
  <Override PartName="/xl/worksheets/sheet7.xml" ContentType="application/vnd.openxmlformats-officedocument.spreadsheetml.worksheet+xml"/>
  <Default Extension="wmf" ContentType="image/x-wmf"/>
  <Override PartName="/xl/queryTables/queryTable17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35.xml" ContentType="application/vnd.openxmlformats-officedocument.spreadsheetml.queryTable+xml"/>
  <Override PartName="/xl/drawings/drawing4.xml" ContentType="application/vnd.openxmlformats-officedocument.drawing+xml"/>
  <Override PartName="/xl/queryTables/queryTable44.xml" ContentType="application/vnd.openxmlformats-officedocument.spreadsheetml.queryTable+xml"/>
  <Override PartName="/xl/queryTables/queryTable55.xml" ContentType="application/vnd.openxmlformats-officedocument.spreadsheetml.queryTable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queryTables/queryTable15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53.xml" ContentType="application/vnd.openxmlformats-officedocument.spreadsheetml.queryTable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queryTables/queryTable13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60.xml" ContentType="application/vnd.openxmlformats-officedocument.spreadsheetml.queryTable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queryTables/queryTable8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20.xml" ContentType="application/vnd.openxmlformats-officedocument.spreadsheetml.queryTable+xml"/>
  <Override PartName="/xl/sharedStrings.xml" ContentType="application/vnd.openxmlformats-officedocument.spreadsheetml.sharedStrings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  <Default Extension="bin" ContentType="application/vnd.openxmlformats-officedocument.spreadsheetml.printerSettings"/>
  <Override PartName="/xl/queryTables/queryTable2.xml" ContentType="application/vnd.openxmlformats-officedocument.spreadsheetml.queryTable+xml"/>
  <Default Extension="png" ContentType="image/png"/>
  <Override PartName="/xl/queryTables/queryTable49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56.xml" ContentType="application/vnd.openxmlformats-officedocument.spreadsheetml.queryTable+xml"/>
  <Override PartName="/xl/worksheets/sheet6.xml" ContentType="application/vnd.openxmlformats-officedocument.spreadsheetml.worksheet+xml"/>
  <Override PartName="/xl/queryTables/queryTable1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54.xml" ContentType="application/vnd.openxmlformats-officedocument.spreadsheetml.queryTab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xl/queryTables/queryTable14.xml" ContentType="application/vnd.openxmlformats-officedocument.spreadsheetml.queryTable+xml"/>
  <Override PartName="/xl/queryTables/queryTable25.xml" ContentType="application/vnd.openxmlformats-officedocument.spreadsheetml.queryTable+xml"/>
  <Override PartName="/xl/drawings/drawing3.xml" ContentType="application/vnd.openxmlformats-officedocument.drawing+xml"/>
  <Override PartName="/xl/queryTables/queryTable34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61.xml" ContentType="application/vnd.openxmlformats-officedocument.spreadsheetml.query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queryTables/queryTable9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10.xml" ContentType="application/vnd.openxmlformats-officedocument.spreadsheetml.queryTable+xml"/>
  <Default Extension="vml" ContentType="application/vnd.openxmlformats-officedocument.vmlDrawing"/>
  <Override PartName="/xl/queryTables/queryTable30.xml" ContentType="application/vnd.openxmlformats-officedocument.spreadsheetml.queryTable+xml"/>
  <Override PartName="/xl/calcChain.xml" ContentType="application/vnd.openxmlformats-officedocument.spreadsheetml.calcChain+xml"/>
  <Override PartName="/xl/queryTables/queryTable5.xml" ContentType="application/vnd.openxmlformats-officedocument.spreadsheetml.query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8340" activeTab="5"/>
  </bookViews>
  <sheets>
    <sheet name="ORÇ" sheetId="1" r:id="rId1"/>
    <sheet name="BDI" sheetId="3" r:id="rId2"/>
    <sheet name="CRONOGRAMA" sheetId="4" r:id="rId3"/>
    <sheet name="COMPOSIÇÕES" sheetId="5" r:id="rId4"/>
    <sheet name="Estimativa As Built" sheetId="6" r:id="rId5"/>
    <sheet name="Plan modelo" sheetId="7" r:id="rId6"/>
    <sheet name="Crono modelo" sheetId="8" r:id="rId7"/>
  </sheets>
  <externalReferences>
    <externalReference r:id="rId8"/>
  </externalReferences>
  <definedNames>
    <definedName name="_ftn1" localSheetId="1">BDI!$A$6</definedName>
    <definedName name="_ftnref1" localSheetId="1">BDI!$A$1</definedName>
    <definedName name="_Ref414871857" localSheetId="1">BDI!$A$1</definedName>
    <definedName name="_xlnm.Print_Area" localSheetId="1">BDI!$A$1:$R$37</definedName>
    <definedName name="_xlnm.Print_Area" localSheetId="3">COMPOSIÇÕES!$A$1:$H$22</definedName>
    <definedName name="_xlnm.Print_Area" localSheetId="2">CRONOGRAMA!$A$1:$R$138</definedName>
    <definedName name="_xlnm.Print_Area" localSheetId="4">'Estimativa As Built'!$A$1:$H$38</definedName>
    <definedName name="_xlnm.Print_Area" localSheetId="0">ORÇ!$A$1:$J$142</definedName>
    <definedName name="Tabela_de_acessório_de_tubo" localSheetId="0">ORÇ!$A$96:$M$112</definedName>
    <definedName name="Tabela_de_acessório_de_tubo_1" localSheetId="6">'Crono modelo'!$A$91:$M$107</definedName>
    <definedName name="Tabela_de_acessório_de_tubo_1" localSheetId="2">CRONOGRAMA!$A$91:$M$107</definedName>
    <definedName name="Tabela_de_bancadas" localSheetId="0">ORÇ!$A$118:$AK$118</definedName>
    <definedName name="Tabela_de_bancadas_1" localSheetId="6">'Crono modelo'!$A$113:$AK$113</definedName>
    <definedName name="Tabela_de_bancadas_1" localSheetId="2">CRONOGRAMA!$A$113:$AK$113</definedName>
    <definedName name="Tabela_de_conexões_de_tubos" localSheetId="6">'Crono modelo'!$A$87:$I$109</definedName>
    <definedName name="Tabela_de_conexões_de_tubos" localSheetId="2">CRONOGRAMA!$A$87:$I$109</definedName>
    <definedName name="Tabela_de_conexões_de_tubos" localSheetId="0">ORÇ!$A$87:$I$109</definedName>
    <definedName name="Tabela_de_conexões_de_tubos" localSheetId="5">'Plan modelo'!$A$87:$I$109</definedName>
    <definedName name="Tabela_de_conexões_de_tubos_1" localSheetId="6">'Crono modelo'!$A$82:$I$104</definedName>
    <definedName name="Tabela_de_conexões_de_tubos_1" localSheetId="2">CRONOGRAMA!$A$82:$I$104</definedName>
    <definedName name="Tabela_de_conexões_de_tubos_2" localSheetId="6">'Crono modelo'!$A$87:$I$109</definedName>
    <definedName name="Tabela_de_conexões_de_tubos_2" localSheetId="2">CRONOGRAMA!$A$87:$I$109</definedName>
    <definedName name="Tabela_de_janela" localSheetId="6">'Crono modelo'!$A$43:$I$44</definedName>
    <definedName name="Tabela_de_janela" localSheetId="2">CRONOGRAMA!$A$43:$I$44</definedName>
    <definedName name="Tabela_de_janela" localSheetId="0">ORÇ!$A$43:$I$44</definedName>
    <definedName name="Tabela_de_janela" localSheetId="5">'Plan modelo'!$A$43:$I$44</definedName>
    <definedName name="Tabela_de_janela_1" localSheetId="6">'Crono modelo'!$A$43:$I$44</definedName>
    <definedName name="Tabela_de_janela_1" localSheetId="2">CRONOGRAMA!$A$43:$I$44</definedName>
    <definedName name="Tabela_de_janela_2" localSheetId="6">'Crono modelo'!$A$43:$I$44</definedName>
    <definedName name="Tabela_de_janela_2" localSheetId="2">CRONOGRAMA!$A$43:$I$44</definedName>
    <definedName name="Tabela_de_material_hidráulico" localSheetId="6">'Crono modelo'!$A$138:$J$138</definedName>
    <definedName name="Tabela_de_material_hidráulico" localSheetId="2">CRONOGRAMA!$A$138:$J$138</definedName>
    <definedName name="Tabela_de_material_hidráulico" localSheetId="0">ORÇ!$A$138:$J$138</definedName>
    <definedName name="Tabela_de_material_hidráulico" localSheetId="5">'Plan modelo'!$A$138:$I$138</definedName>
    <definedName name="Tabela_de_material_hidráulico_1" localSheetId="6">'Crono modelo'!$A$133:$J$133</definedName>
    <definedName name="Tabela_de_material_hidráulico_1" localSheetId="2">CRONOGRAMA!$A$133:$J$133</definedName>
    <definedName name="Tabela_de_material_hidráulico_1" localSheetId="0">ORÇ!#REF!</definedName>
    <definedName name="Tabela_de_material_hidráulico_2" localSheetId="0">ORÇ!$A$115:$L$115</definedName>
    <definedName name="Tabela_de_material_hidráulico_2_1" localSheetId="6">'Crono modelo'!$A$110:$L$110</definedName>
    <definedName name="Tabela_de_material_hidráulico_2_1" localSheetId="2">CRONOGRAMA!$A$110:$L$110</definedName>
    <definedName name="Tabela_de_parede" localSheetId="6">'Crono modelo'!$A$37:$E$120</definedName>
    <definedName name="Tabela_de_parede" localSheetId="2">CRONOGRAMA!$A$37:$E$120</definedName>
    <definedName name="Tabela_de_parede" localSheetId="0">ORÇ!$A$37:$E$120</definedName>
    <definedName name="Tabela_de_parede" localSheetId="5">'Plan modelo'!$A$37:$E$120</definedName>
    <definedName name="Tabela_de_parede_1" localSheetId="6">'Crono modelo'!$A$37:$E$115</definedName>
    <definedName name="Tabela_de_parede_1" localSheetId="2">CRONOGRAMA!$A$37:$E$115</definedName>
    <definedName name="Tabela_de_parede_2" localSheetId="6">'Crono modelo'!$A$37:$E$120</definedName>
    <definedName name="Tabela_de_parede_2" localSheetId="2">CRONOGRAMA!$A$37:$E$120</definedName>
    <definedName name="Tabela_de_piso" localSheetId="6">'Crono modelo'!$A$28:$E$36</definedName>
    <definedName name="Tabela_de_piso" localSheetId="2">CRONOGRAMA!$A$28:$E$36</definedName>
    <definedName name="Tabela_de_piso" localSheetId="0">ORÇ!$A$28:$E$36</definedName>
    <definedName name="Tabela_de_piso" localSheetId="5">'Plan modelo'!$A$28:$E$36</definedName>
    <definedName name="Tabela_de_piso_1" localSheetId="6">'Crono modelo'!$A$28:$E$36</definedName>
    <definedName name="Tabela_de_piso_1" localSheetId="2">CRONOGRAMA!$A$28:$E$36</definedName>
    <definedName name="Tabela_de_piso_2" localSheetId="6">'Crono modelo'!$A$28:$E$36</definedName>
    <definedName name="Tabela_de_piso_2" localSheetId="2">CRONOGRAMA!$A$28:$E$36</definedName>
    <definedName name="Tabela_de_porta" localSheetId="6">'Crono modelo'!$A$45:$J$47</definedName>
    <definedName name="Tabela_de_porta" localSheetId="2">CRONOGRAMA!$A$45:$J$47</definedName>
    <definedName name="Tabela_de_porta" localSheetId="0">ORÇ!$A$45:$J$47</definedName>
    <definedName name="Tabela_de_porta" localSheetId="5">'Plan modelo'!$A$45:$I$47</definedName>
    <definedName name="Tabela_de_porta_1" localSheetId="6">'Crono modelo'!$A$45:$J$47</definedName>
    <definedName name="Tabela_de_porta_1" localSheetId="2">CRONOGRAMA!$A$45:$J$47</definedName>
    <definedName name="Tabela_de_tubos" localSheetId="6">'Crono modelo'!$A$87:$F$119</definedName>
    <definedName name="Tabela_de_tubos" localSheetId="2">CRONOGRAMA!$A$87:$F$119</definedName>
    <definedName name="Tabela_de_tubos" localSheetId="0">ORÇ!$A$87:$F$119</definedName>
    <definedName name="Tabela_de_tubos" localSheetId="5">'Plan modelo'!$A$87:$F$119</definedName>
    <definedName name="Tabela_de_tubos_1" localSheetId="6">'Crono modelo'!$A$82:$F$114</definedName>
    <definedName name="Tabela_de_tubos_1" localSheetId="2">CRONOGRAMA!$A$82:$F$114</definedName>
    <definedName name="Tabela_de_tubos_2" localSheetId="6">'Crono modelo'!$A$87:$F$119</definedName>
    <definedName name="Tabela_de_tubos_2" localSheetId="2">CRONOGRAMA!$A$87:$F$119</definedName>
    <definedName name="_xlnm.Print_Titles" localSheetId="3">COMPOSIÇÕES!$3:$3</definedName>
  </definedNames>
  <calcPr calcId="125725"/>
</workbook>
</file>

<file path=xl/calcChain.xml><?xml version="1.0" encoding="utf-8"?>
<calcChain xmlns="http://schemas.openxmlformats.org/spreadsheetml/2006/main">
  <c r="G31" i="4"/>
  <c r="H31" s="1"/>
  <c r="I31" s="1"/>
  <c r="G32"/>
  <c r="I33"/>
  <c r="N33" s="1"/>
  <c r="G34"/>
  <c r="G35"/>
  <c r="G30"/>
  <c r="H30" s="1"/>
  <c r="I30" s="1"/>
  <c r="G20"/>
  <c r="G21"/>
  <c r="G22"/>
  <c r="G23"/>
  <c r="G24"/>
  <c r="G19"/>
  <c r="H19" s="1"/>
  <c r="I19" s="1"/>
  <c r="G13"/>
  <c r="H13" s="1"/>
  <c r="I13" s="1"/>
  <c r="G15"/>
  <c r="H15" s="1"/>
  <c r="I15" s="1"/>
  <c r="G16"/>
  <c r="H16" s="1"/>
  <c r="I16" s="1"/>
  <c r="G12"/>
  <c r="H12" s="1"/>
  <c r="I12" s="1"/>
  <c r="G12" i="1"/>
  <c r="G13"/>
  <c r="G15"/>
  <c r="G16"/>
  <c r="G19"/>
  <c r="G20"/>
  <c r="G21"/>
  <c r="G22"/>
  <c r="G23"/>
  <c r="G24"/>
  <c r="G30"/>
  <c r="G31"/>
  <c r="G32"/>
  <c r="B23" i="3"/>
  <c r="G133" i="8" s="1"/>
  <c r="H133" s="1"/>
  <c r="I133" s="1"/>
  <c r="K19" i="3"/>
  <c r="L19"/>
  <c r="M19"/>
  <c r="J19"/>
  <c r="M17"/>
  <c r="L17"/>
  <c r="K17"/>
  <c r="J17"/>
  <c r="J26"/>
  <c r="S135" i="8"/>
  <c r="S134"/>
  <c r="S133"/>
  <c r="S132"/>
  <c r="S131"/>
  <c r="E131"/>
  <c r="S130"/>
  <c r="S129"/>
  <c r="S128"/>
  <c r="S127"/>
  <c r="E127"/>
  <c r="S126"/>
  <c r="S125"/>
  <c r="S124"/>
  <c r="E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U86"/>
  <c r="S86"/>
  <c r="S85"/>
  <c r="S84"/>
  <c r="E84"/>
  <c r="S83"/>
  <c r="S82"/>
  <c r="S81"/>
  <c r="S80"/>
  <c r="S79"/>
  <c r="I79"/>
  <c r="S78"/>
  <c r="F78"/>
  <c r="S77"/>
  <c r="S76"/>
  <c r="S75"/>
  <c r="S74"/>
  <c r="S73"/>
  <c r="S72"/>
  <c r="S71"/>
  <c r="S70"/>
  <c r="S69"/>
  <c r="I69"/>
  <c r="S68"/>
  <c r="I68"/>
  <c r="S67"/>
  <c r="E67"/>
  <c r="S66"/>
  <c r="S65"/>
  <c r="S64"/>
  <c r="S63"/>
  <c r="S62"/>
  <c r="S61"/>
  <c r="S60"/>
  <c r="S59"/>
  <c r="S58"/>
  <c r="S57"/>
  <c r="S56"/>
  <c r="S55"/>
  <c r="S54"/>
  <c r="S53"/>
  <c r="I53"/>
  <c r="U53" s="1"/>
  <c r="S52"/>
  <c r="I52"/>
  <c r="I49" s="1"/>
  <c r="S51"/>
  <c r="U51"/>
  <c r="I51"/>
  <c r="S50"/>
  <c r="I50"/>
  <c r="U49"/>
  <c r="U48"/>
  <c r="S47"/>
  <c r="S46"/>
  <c r="S45"/>
  <c r="I45"/>
  <c r="U45" s="1"/>
  <c r="S44"/>
  <c r="E44"/>
  <c r="I44" s="1"/>
  <c r="S43"/>
  <c r="E43"/>
  <c r="S40"/>
  <c r="S39"/>
  <c r="S38"/>
  <c r="I38"/>
  <c r="S35"/>
  <c r="S34"/>
  <c r="E34"/>
  <c r="S33"/>
  <c r="U33"/>
  <c r="I33"/>
  <c r="U32"/>
  <c r="S32"/>
  <c r="S31"/>
  <c r="I31"/>
  <c r="H31"/>
  <c r="S30"/>
  <c r="H30"/>
  <c r="I30" s="1"/>
  <c r="S26"/>
  <c r="I26"/>
  <c r="S24"/>
  <c r="S23"/>
  <c r="S22"/>
  <c r="S21"/>
  <c r="S20"/>
  <c r="F20"/>
  <c r="H20" s="1"/>
  <c r="I20" s="1"/>
  <c r="S19"/>
  <c r="H19"/>
  <c r="I19" s="1"/>
  <c r="S16"/>
  <c r="H16"/>
  <c r="I16" s="1"/>
  <c r="S15"/>
  <c r="H15"/>
  <c r="I15" s="1"/>
  <c r="S13"/>
  <c r="H13"/>
  <c r="I13" s="1"/>
  <c r="E13"/>
  <c r="S12"/>
  <c r="H12"/>
  <c r="I12" s="1"/>
  <c r="E12"/>
  <c r="E131" i="4"/>
  <c r="G127"/>
  <c r="H127" s="1"/>
  <c r="E127"/>
  <c r="E124"/>
  <c r="E123"/>
  <c r="G110"/>
  <c r="H110" s="1"/>
  <c r="I110" s="1"/>
  <c r="G94"/>
  <c r="H94" s="1"/>
  <c r="I94" s="1"/>
  <c r="E84"/>
  <c r="I79"/>
  <c r="F78"/>
  <c r="I69"/>
  <c r="I68"/>
  <c r="E67"/>
  <c r="G64"/>
  <c r="H64" s="1"/>
  <c r="I64" s="1"/>
  <c r="I53"/>
  <c r="P53" s="1"/>
  <c r="I52"/>
  <c r="R52" s="1"/>
  <c r="I51"/>
  <c r="R51" s="1"/>
  <c r="I50"/>
  <c r="N50" s="1"/>
  <c r="G47"/>
  <c r="H47" s="1"/>
  <c r="I47" s="1"/>
  <c r="I45"/>
  <c r="L45" s="1"/>
  <c r="I44"/>
  <c r="E44"/>
  <c r="E43"/>
  <c r="I38"/>
  <c r="R38" s="1"/>
  <c r="E34"/>
  <c r="I26"/>
  <c r="L26" s="1"/>
  <c r="F20"/>
  <c r="E13"/>
  <c r="E12"/>
  <c r="S60"/>
  <c r="E131" i="7"/>
  <c r="E127"/>
  <c r="E124"/>
  <c r="E123" s="1"/>
  <c r="E44"/>
  <c r="E43"/>
  <c r="E34"/>
  <c r="E13"/>
  <c r="E12"/>
  <c r="R14" i="4"/>
  <c r="R32"/>
  <c r="R45"/>
  <c r="R50"/>
  <c r="R92"/>
  <c r="R103"/>
  <c r="P14"/>
  <c r="P32"/>
  <c r="P38"/>
  <c r="P50"/>
  <c r="P92"/>
  <c r="P103"/>
  <c r="N14"/>
  <c r="N32"/>
  <c r="N38"/>
  <c r="N52"/>
  <c r="N53"/>
  <c r="N92"/>
  <c r="N103"/>
  <c r="L14"/>
  <c r="L32"/>
  <c r="L38"/>
  <c r="L50"/>
  <c r="L92"/>
  <c r="L103"/>
  <c r="S52"/>
  <c r="S53"/>
  <c r="S54"/>
  <c r="S55"/>
  <c r="S56"/>
  <c r="S57"/>
  <c r="S58"/>
  <c r="S59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H20" l="1"/>
  <c r="I20" s="1"/>
  <c r="I9"/>
  <c r="G46"/>
  <c r="H46" s="1"/>
  <c r="I46" s="1"/>
  <c r="G106" i="8"/>
  <c r="H106" s="1"/>
  <c r="I106" s="1"/>
  <c r="G126" i="4"/>
  <c r="H126" s="1"/>
  <c r="I126" s="1"/>
  <c r="G72" i="8"/>
  <c r="H72" s="1"/>
  <c r="I72" s="1"/>
  <c r="G90" i="4"/>
  <c r="H90" s="1"/>
  <c r="I90" s="1"/>
  <c r="G64" i="8"/>
  <c r="H64" s="1"/>
  <c r="I64" s="1"/>
  <c r="G71"/>
  <c r="H71" s="1"/>
  <c r="I71" s="1"/>
  <c r="G105" i="4"/>
  <c r="H105" s="1"/>
  <c r="I105" s="1"/>
  <c r="G84" i="8"/>
  <c r="H84" s="1"/>
  <c r="I84" s="1"/>
  <c r="G40" i="4"/>
  <c r="H40" s="1"/>
  <c r="I40" s="1"/>
  <c r="G59"/>
  <c r="H59" s="1"/>
  <c r="I59" s="1"/>
  <c r="G72"/>
  <c r="H72" s="1"/>
  <c r="I72" s="1"/>
  <c r="G84"/>
  <c r="H84" s="1"/>
  <c r="I84" s="1"/>
  <c r="G104"/>
  <c r="H104" s="1"/>
  <c r="I104" s="1"/>
  <c r="G123"/>
  <c r="H123" s="1"/>
  <c r="I123" s="1"/>
  <c r="G62" i="8"/>
  <c r="H62" s="1"/>
  <c r="I62" s="1"/>
  <c r="G93"/>
  <c r="H93" s="1"/>
  <c r="I93" s="1"/>
  <c r="G111"/>
  <c r="H111" s="1"/>
  <c r="I111" s="1"/>
  <c r="G39" i="4"/>
  <c r="H39" s="1"/>
  <c r="I39" s="1"/>
  <c r="I37" s="1"/>
  <c r="G58"/>
  <c r="H58" s="1"/>
  <c r="I58" s="1"/>
  <c r="R58" s="1"/>
  <c r="G71"/>
  <c r="H71" s="1"/>
  <c r="I71" s="1"/>
  <c r="G102"/>
  <c r="H102" s="1"/>
  <c r="I102" s="1"/>
  <c r="G77" i="8"/>
  <c r="H77" s="1"/>
  <c r="I77" s="1"/>
  <c r="G102"/>
  <c r="H102" s="1"/>
  <c r="I102" s="1"/>
  <c r="G120"/>
  <c r="H120" s="1"/>
  <c r="I120" s="1"/>
  <c r="G93" i="4"/>
  <c r="H93" s="1"/>
  <c r="I93" s="1"/>
  <c r="G75"/>
  <c r="H75" s="1"/>
  <c r="I75" s="1"/>
  <c r="G56" i="8"/>
  <c r="H56" s="1"/>
  <c r="I56" s="1"/>
  <c r="G107" i="4"/>
  <c r="H107" s="1"/>
  <c r="I107" s="1"/>
  <c r="G85" i="8"/>
  <c r="H85" s="1"/>
  <c r="I85" s="1"/>
  <c r="G74" i="4"/>
  <c r="H74" s="1"/>
  <c r="I74" s="1"/>
  <c r="G101"/>
  <c r="H101" s="1"/>
  <c r="I101" s="1"/>
  <c r="G120"/>
  <c r="H120" s="1"/>
  <c r="I120" s="1"/>
  <c r="I119" s="1"/>
  <c r="G135"/>
  <c r="H135" s="1"/>
  <c r="I135" s="1"/>
  <c r="G61" i="8"/>
  <c r="H61" s="1"/>
  <c r="I61" s="1"/>
  <c r="G83"/>
  <c r="H83" s="1"/>
  <c r="I83" s="1"/>
  <c r="G110"/>
  <c r="H110" s="1"/>
  <c r="I110" s="1"/>
  <c r="G115"/>
  <c r="H115" s="1"/>
  <c r="I115" s="1"/>
  <c r="G96"/>
  <c r="H96" s="1"/>
  <c r="I96" s="1"/>
  <c r="G91" i="4"/>
  <c r="H91" s="1"/>
  <c r="I91" s="1"/>
  <c r="G95" i="8"/>
  <c r="H95" s="1"/>
  <c r="I95" s="1"/>
  <c r="G85" i="4"/>
  <c r="H85" s="1"/>
  <c r="I85" s="1"/>
  <c r="G61"/>
  <c r="H61" s="1"/>
  <c r="I61" s="1"/>
  <c r="H35"/>
  <c r="I35" s="1"/>
  <c r="G56"/>
  <c r="H56" s="1"/>
  <c r="I56" s="1"/>
  <c r="G83"/>
  <c r="H83" s="1"/>
  <c r="I83" s="1"/>
  <c r="G117"/>
  <c r="H117" s="1"/>
  <c r="I117" s="1"/>
  <c r="G134"/>
  <c r="H134" s="1"/>
  <c r="I134" s="1"/>
  <c r="G43" i="8"/>
  <c r="H43" s="1"/>
  <c r="I43" s="1"/>
  <c r="G76"/>
  <c r="H76" s="1"/>
  <c r="I76" s="1"/>
  <c r="G91"/>
  <c r="H91" s="1"/>
  <c r="I91" s="1"/>
  <c r="G101"/>
  <c r="H101" s="1"/>
  <c r="I101" s="1"/>
  <c r="G127"/>
  <c r="H127" s="1"/>
  <c r="I127" s="1"/>
  <c r="G80"/>
  <c r="H80" s="1"/>
  <c r="I80" s="1"/>
  <c r="G63" i="4"/>
  <c r="H63" s="1"/>
  <c r="I63" s="1"/>
  <c r="G65" i="8"/>
  <c r="H65" s="1"/>
  <c r="I65" s="1"/>
  <c r="G35"/>
  <c r="H35" s="1"/>
  <c r="I35" s="1"/>
  <c r="G43" i="4"/>
  <c r="H43" s="1"/>
  <c r="G34" i="8"/>
  <c r="H34" s="1"/>
  <c r="I34" s="1"/>
  <c r="H34" i="4"/>
  <c r="G82"/>
  <c r="H82" s="1"/>
  <c r="I82" s="1"/>
  <c r="G116"/>
  <c r="H116" s="1"/>
  <c r="I116" s="1"/>
  <c r="G133"/>
  <c r="H133" s="1"/>
  <c r="I133" s="1"/>
  <c r="G60" i="8"/>
  <c r="H60" s="1"/>
  <c r="I60" s="1"/>
  <c r="G109"/>
  <c r="H109" s="1"/>
  <c r="I109" s="1"/>
  <c r="G135"/>
  <c r="H135" s="1"/>
  <c r="I135" s="1"/>
  <c r="G124"/>
  <c r="H124" s="1"/>
  <c r="I124" s="1"/>
  <c r="G108" i="4"/>
  <c r="H108" s="1"/>
  <c r="I108" s="1"/>
  <c r="G125"/>
  <c r="H125" s="1"/>
  <c r="I125" s="1"/>
  <c r="G131" i="8"/>
  <c r="H131" s="1"/>
  <c r="G63"/>
  <c r="H63" s="1"/>
  <c r="I63" s="1"/>
  <c r="G130"/>
  <c r="H130" s="1"/>
  <c r="I130" s="1"/>
  <c r="G67" i="4"/>
  <c r="H67" s="1"/>
  <c r="I67" s="1"/>
  <c r="G81"/>
  <c r="H81" s="1"/>
  <c r="I81" s="1"/>
  <c r="G100"/>
  <c r="H100" s="1"/>
  <c r="I100" s="1"/>
  <c r="G132"/>
  <c r="H132" s="1"/>
  <c r="I132" s="1"/>
  <c r="G67" i="8"/>
  <c r="H67" s="1"/>
  <c r="I67" s="1"/>
  <c r="G75"/>
  <c r="H75" s="1"/>
  <c r="I75" s="1"/>
  <c r="G82"/>
  <c r="H82" s="1"/>
  <c r="I82" s="1"/>
  <c r="G100"/>
  <c r="H100" s="1"/>
  <c r="I100" s="1"/>
  <c r="G117"/>
  <c r="H117" s="1"/>
  <c r="I117" s="1"/>
  <c r="G109" i="4"/>
  <c r="H109" s="1"/>
  <c r="I109" s="1"/>
  <c r="G46" i="8"/>
  <c r="H46" s="1"/>
  <c r="I46" s="1"/>
  <c r="G123"/>
  <c r="H123" s="1"/>
  <c r="G104"/>
  <c r="H104" s="1"/>
  <c r="I104" s="1"/>
  <c r="G60" i="4"/>
  <c r="H60" s="1"/>
  <c r="I60" s="1"/>
  <c r="P60" s="1"/>
  <c r="G80"/>
  <c r="H80" s="1"/>
  <c r="I80" s="1"/>
  <c r="G96"/>
  <c r="H96" s="1"/>
  <c r="I96" s="1"/>
  <c r="G115"/>
  <c r="H115" s="1"/>
  <c r="I115" s="1"/>
  <c r="G131"/>
  <c r="H131" s="1"/>
  <c r="I131" s="1"/>
  <c r="G40" i="8"/>
  <c r="H40" s="1"/>
  <c r="I40" s="1"/>
  <c r="G59"/>
  <c r="H59" s="1"/>
  <c r="I59" s="1"/>
  <c r="G90"/>
  <c r="H90" s="1"/>
  <c r="I90" s="1"/>
  <c r="G108"/>
  <c r="H108" s="1"/>
  <c r="I108" s="1"/>
  <c r="G126"/>
  <c r="H126" s="1"/>
  <c r="I126" s="1"/>
  <c r="G134"/>
  <c r="H134" s="1"/>
  <c r="I134" s="1"/>
  <c r="G77" i="4"/>
  <c r="H77" s="1"/>
  <c r="I77" s="1"/>
  <c r="G57" i="8"/>
  <c r="H57" s="1"/>
  <c r="I57" s="1"/>
  <c r="G76" i="4"/>
  <c r="H76" s="1"/>
  <c r="I76" s="1"/>
  <c r="G105" i="8"/>
  <c r="H105" s="1"/>
  <c r="I105" s="1"/>
  <c r="G124" i="4"/>
  <c r="H124" s="1"/>
  <c r="I124" s="1"/>
  <c r="G78" i="8"/>
  <c r="H78" s="1"/>
  <c r="I78" s="1"/>
  <c r="G94"/>
  <c r="H94" s="1"/>
  <c r="I94" s="1"/>
  <c r="G73" i="4"/>
  <c r="H73" s="1"/>
  <c r="I73" s="1"/>
  <c r="G70" i="8"/>
  <c r="H70" s="1"/>
  <c r="I70" s="1"/>
  <c r="G70" i="4"/>
  <c r="H70" s="1"/>
  <c r="I70" s="1"/>
  <c r="G66"/>
  <c r="H66" s="1"/>
  <c r="I66" s="1"/>
  <c r="G114"/>
  <c r="H114" s="1"/>
  <c r="I114" s="1"/>
  <c r="G74" i="8"/>
  <c r="H74" s="1"/>
  <c r="I74" s="1"/>
  <c r="G81"/>
  <c r="H81" s="1"/>
  <c r="I81" s="1"/>
  <c r="G116"/>
  <c r="H116" s="1"/>
  <c r="I116" s="1"/>
  <c r="G73"/>
  <c r="H73" s="1"/>
  <c r="I73" s="1"/>
  <c r="G132"/>
  <c r="H132" s="1"/>
  <c r="I132" s="1"/>
  <c r="G47"/>
  <c r="H47" s="1"/>
  <c r="I47" s="1"/>
  <c r="G114"/>
  <c r="H114" s="1"/>
  <c r="I114" s="1"/>
  <c r="G62" i="4"/>
  <c r="H62" s="1"/>
  <c r="I62" s="1"/>
  <c r="G106"/>
  <c r="H106" s="1"/>
  <c r="I106" s="1"/>
  <c r="G57"/>
  <c r="H57" s="1"/>
  <c r="I57" s="1"/>
  <c r="L57" s="1"/>
  <c r="G60" i="1"/>
  <c r="H60" s="1"/>
  <c r="I60" s="1"/>
  <c r="G65" i="4"/>
  <c r="H65" s="1"/>
  <c r="I65" s="1"/>
  <c r="G78"/>
  <c r="G95"/>
  <c r="H95" s="1"/>
  <c r="I95" s="1"/>
  <c r="G111"/>
  <c r="H111" s="1"/>
  <c r="I111" s="1"/>
  <c r="G130"/>
  <c r="H130" s="1"/>
  <c r="I130" s="1"/>
  <c r="G39" i="8"/>
  <c r="H39" s="1"/>
  <c r="I39" s="1"/>
  <c r="I37" s="1"/>
  <c r="G58"/>
  <c r="H58" s="1"/>
  <c r="I58" s="1"/>
  <c r="G66"/>
  <c r="H66" s="1"/>
  <c r="I66" s="1"/>
  <c r="G107"/>
  <c r="H107" s="1"/>
  <c r="I107" s="1"/>
  <c r="G125"/>
  <c r="H125" s="1"/>
  <c r="I125" s="1"/>
  <c r="R26" i="4"/>
  <c r="H78"/>
  <c r="I78" s="1"/>
  <c r="I127"/>
  <c r="I43"/>
  <c r="I34"/>
  <c r="I28" s="1"/>
  <c r="U65" i="8"/>
  <c r="U77"/>
  <c r="U128"/>
  <c r="U24"/>
  <c r="U64"/>
  <c r="U127"/>
  <c r="U61"/>
  <c r="U95"/>
  <c r="I28"/>
  <c r="U130"/>
  <c r="U47"/>
  <c r="U72"/>
  <c r="U31"/>
  <c r="U15"/>
  <c r="U50"/>
  <c r="U20"/>
  <c r="U16"/>
  <c r="I9"/>
  <c r="U75"/>
  <c r="I119"/>
  <c r="U97"/>
  <c r="U102"/>
  <c r="I131"/>
  <c r="U90"/>
  <c r="U44"/>
  <c r="U88"/>
  <c r="U109"/>
  <c r="U119"/>
  <c r="U34"/>
  <c r="U101"/>
  <c r="U19"/>
  <c r="U38"/>
  <c r="U69"/>
  <c r="E123"/>
  <c r="U12"/>
  <c r="U79"/>
  <c r="U39"/>
  <c r="U52"/>
  <c r="U68"/>
  <c r="U26"/>
  <c r="U13"/>
  <c r="U122"/>
  <c r="P30" i="4"/>
  <c r="L30"/>
  <c r="P26"/>
  <c r="N45"/>
  <c r="N26"/>
  <c r="I49"/>
  <c r="P45"/>
  <c r="P31"/>
  <c r="N31"/>
  <c r="L31"/>
  <c r="N44"/>
  <c r="L44"/>
  <c r="P44"/>
  <c r="R44"/>
  <c r="R56"/>
  <c r="P52"/>
  <c r="L51"/>
  <c r="L52"/>
  <c r="P33"/>
  <c r="L53"/>
  <c r="N51"/>
  <c r="R30"/>
  <c r="R33"/>
  <c r="P51"/>
  <c r="L33"/>
  <c r="R53"/>
  <c r="R59"/>
  <c r="R31"/>
  <c r="N30"/>
  <c r="P61"/>
  <c r="R61"/>
  <c r="P58"/>
  <c r="L56"/>
  <c r="L58"/>
  <c r="R57"/>
  <c r="L59"/>
  <c r="N56"/>
  <c r="L61"/>
  <c r="N59"/>
  <c r="P56"/>
  <c r="N61"/>
  <c r="P59"/>
  <c r="I9" i="7"/>
  <c r="G66" i="1"/>
  <c r="H66" s="1"/>
  <c r="I66" s="1"/>
  <c r="G65"/>
  <c r="H65" s="1"/>
  <c r="I65" s="1"/>
  <c r="G85"/>
  <c r="H85" s="1"/>
  <c r="I85" s="1"/>
  <c r="G56"/>
  <c r="H56" s="1"/>
  <c r="I56" s="1"/>
  <c r="G59"/>
  <c r="H59" s="1"/>
  <c r="I59" s="1"/>
  <c r="I42" i="8" l="1"/>
  <c r="I88" i="4"/>
  <c r="I55" i="8"/>
  <c r="I113"/>
  <c r="I98" i="4"/>
  <c r="I113"/>
  <c r="I129"/>
  <c r="I123" i="8"/>
  <c r="I122" s="1"/>
  <c r="I88"/>
  <c r="I87" s="1"/>
  <c r="I98"/>
  <c r="N57" i="4"/>
  <c r="P57"/>
  <c r="I55"/>
  <c r="N60"/>
  <c r="I129" i="8"/>
  <c r="N58" i="4"/>
  <c r="I42"/>
  <c r="R60"/>
  <c r="L60"/>
  <c r="I122"/>
  <c r="U110" i="8"/>
  <c r="U103"/>
  <c r="U125"/>
  <c r="U91"/>
  <c r="U66"/>
  <c r="U100"/>
  <c r="U104"/>
  <c r="U46"/>
  <c r="U59"/>
  <c r="U80"/>
  <c r="U63"/>
  <c r="U111"/>
  <c r="U43"/>
  <c r="U115"/>
  <c r="U120"/>
  <c r="U70"/>
  <c r="U58"/>
  <c r="U30"/>
  <c r="U22"/>
  <c r="U112"/>
  <c r="U67"/>
  <c r="U78"/>
  <c r="U71"/>
  <c r="U126"/>
  <c r="R137"/>
  <c r="P137"/>
  <c r="U40"/>
  <c r="U74"/>
  <c r="U99"/>
  <c r="U121"/>
  <c r="U106"/>
  <c r="U76"/>
  <c r="U57"/>
  <c r="U129"/>
  <c r="U73"/>
  <c r="N137"/>
  <c r="U89"/>
  <c r="U56"/>
  <c r="U60"/>
  <c r="L137"/>
  <c r="U96"/>
  <c r="U105"/>
  <c r="U62"/>
  <c r="U35"/>
  <c r="U23"/>
  <c r="U85"/>
  <c r="U21"/>
  <c r="L81" i="4"/>
  <c r="P81"/>
  <c r="N81"/>
  <c r="R81"/>
  <c r="N104"/>
  <c r="L104"/>
  <c r="R104"/>
  <c r="P104"/>
  <c r="R111"/>
  <c r="P111"/>
  <c r="L111"/>
  <c r="N111"/>
  <c r="R76"/>
  <c r="P76"/>
  <c r="N76"/>
  <c r="L76"/>
  <c r="R93"/>
  <c r="P93"/>
  <c r="N93"/>
  <c r="L93"/>
  <c r="L90"/>
  <c r="R90"/>
  <c r="N90"/>
  <c r="P90"/>
  <c r="N19"/>
  <c r="L19"/>
  <c r="P19"/>
  <c r="R19"/>
  <c r="L130"/>
  <c r="P130"/>
  <c r="N130"/>
  <c r="R130"/>
  <c r="L108"/>
  <c r="R108"/>
  <c r="N108"/>
  <c r="P108"/>
  <c r="R70"/>
  <c r="N70"/>
  <c r="L70"/>
  <c r="P70"/>
  <c r="L83"/>
  <c r="N83"/>
  <c r="R83"/>
  <c r="P83"/>
  <c r="N126"/>
  <c r="L126"/>
  <c r="P126"/>
  <c r="R126"/>
  <c r="L68"/>
  <c r="R68"/>
  <c r="N68"/>
  <c r="P68"/>
  <c r="N105"/>
  <c r="L105"/>
  <c r="P105"/>
  <c r="R105"/>
  <c r="P125"/>
  <c r="N125"/>
  <c r="L125"/>
  <c r="R125"/>
  <c r="R94"/>
  <c r="P94"/>
  <c r="N94"/>
  <c r="L94"/>
  <c r="R91"/>
  <c r="P91"/>
  <c r="N91"/>
  <c r="L91"/>
  <c r="L47"/>
  <c r="R47"/>
  <c r="N47"/>
  <c r="P47"/>
  <c r="P46"/>
  <c r="L46"/>
  <c r="N46"/>
  <c r="R46"/>
  <c r="N82"/>
  <c r="L82"/>
  <c r="P82"/>
  <c r="R82"/>
  <c r="P40"/>
  <c r="N40"/>
  <c r="R40"/>
  <c r="L40"/>
  <c r="R115"/>
  <c r="P115"/>
  <c r="N115"/>
  <c r="L115"/>
  <c r="R74"/>
  <c r="P74"/>
  <c r="N74"/>
  <c r="L74"/>
  <c r="N16"/>
  <c r="L16"/>
  <c r="P16"/>
  <c r="R16"/>
  <c r="L69"/>
  <c r="R69"/>
  <c r="P69"/>
  <c r="N69"/>
  <c r="N39"/>
  <c r="P39"/>
  <c r="L39"/>
  <c r="R39"/>
  <c r="N66"/>
  <c r="L66"/>
  <c r="P66"/>
  <c r="R66"/>
  <c r="N80"/>
  <c r="L80"/>
  <c r="R80"/>
  <c r="P80"/>
  <c r="P102"/>
  <c r="R102"/>
  <c r="N102"/>
  <c r="L102"/>
  <c r="R75"/>
  <c r="P75"/>
  <c r="N75"/>
  <c r="L75"/>
  <c r="R110"/>
  <c r="P110"/>
  <c r="N110"/>
  <c r="L110"/>
  <c r="R71"/>
  <c r="N71"/>
  <c r="P71"/>
  <c r="L71"/>
  <c r="N65"/>
  <c r="L65"/>
  <c r="P65"/>
  <c r="R65"/>
  <c r="P79"/>
  <c r="N79"/>
  <c r="L79"/>
  <c r="R79"/>
  <c r="P101"/>
  <c r="N101"/>
  <c r="R101"/>
  <c r="L101"/>
  <c r="P120"/>
  <c r="N120"/>
  <c r="L120"/>
  <c r="R120"/>
  <c r="L132"/>
  <c r="R132"/>
  <c r="N132"/>
  <c r="P132"/>
  <c r="R72"/>
  <c r="P72"/>
  <c r="L72"/>
  <c r="N72"/>
  <c r="P15"/>
  <c r="N15"/>
  <c r="L15"/>
  <c r="R15"/>
  <c r="R35"/>
  <c r="P35"/>
  <c r="N35"/>
  <c r="L35"/>
  <c r="R64"/>
  <c r="N64"/>
  <c r="L64"/>
  <c r="P64"/>
  <c r="P100"/>
  <c r="N100"/>
  <c r="L100"/>
  <c r="R100"/>
  <c r="R114"/>
  <c r="P114"/>
  <c r="L114"/>
  <c r="N114"/>
  <c r="R73"/>
  <c r="L73"/>
  <c r="P73"/>
  <c r="N73"/>
  <c r="L85"/>
  <c r="R85"/>
  <c r="N85"/>
  <c r="P85"/>
  <c r="L106"/>
  <c r="P106"/>
  <c r="N106"/>
  <c r="R106"/>
  <c r="P63"/>
  <c r="N63"/>
  <c r="L63"/>
  <c r="R63"/>
  <c r="R96"/>
  <c r="P96"/>
  <c r="N96"/>
  <c r="L96"/>
  <c r="R117"/>
  <c r="P117"/>
  <c r="N117"/>
  <c r="L117"/>
  <c r="R135"/>
  <c r="P135"/>
  <c r="N135"/>
  <c r="L135"/>
  <c r="L133"/>
  <c r="R133"/>
  <c r="N133"/>
  <c r="P133"/>
  <c r="N20"/>
  <c r="L20"/>
  <c r="R20"/>
  <c r="P20"/>
  <c r="R109"/>
  <c r="L109"/>
  <c r="P109"/>
  <c r="N109"/>
  <c r="L107"/>
  <c r="P107"/>
  <c r="N107"/>
  <c r="R107"/>
  <c r="P62"/>
  <c r="N62"/>
  <c r="L62"/>
  <c r="R62"/>
  <c r="L77"/>
  <c r="P77"/>
  <c r="R77"/>
  <c r="N77"/>
  <c r="R95"/>
  <c r="P95"/>
  <c r="N95"/>
  <c r="L95"/>
  <c r="R116"/>
  <c r="P116"/>
  <c r="N116"/>
  <c r="L116"/>
  <c r="L134"/>
  <c r="R134"/>
  <c r="P134"/>
  <c r="N134"/>
  <c r="I138" i="7"/>
  <c r="H142" s="1"/>
  <c r="U48" i="4"/>
  <c r="U49"/>
  <c r="U26"/>
  <c r="U33"/>
  <c r="U44"/>
  <c r="U51"/>
  <c r="U52"/>
  <c r="U57"/>
  <c r="U58"/>
  <c r="U59"/>
  <c r="U61"/>
  <c r="U38"/>
  <c r="U45"/>
  <c r="U30"/>
  <c r="U31"/>
  <c r="U32"/>
  <c r="U53"/>
  <c r="U86"/>
  <c r="S47"/>
  <c r="S50"/>
  <c r="S51"/>
  <c r="S38"/>
  <c r="S39"/>
  <c r="S40"/>
  <c r="S43"/>
  <c r="S44"/>
  <c r="S45"/>
  <c r="S46"/>
  <c r="S32"/>
  <c r="S33"/>
  <c r="S34"/>
  <c r="S35"/>
  <c r="S20"/>
  <c r="S21"/>
  <c r="S22"/>
  <c r="S23"/>
  <c r="S24"/>
  <c r="S26"/>
  <c r="S30"/>
  <c r="S31"/>
  <c r="S12"/>
  <c r="S13"/>
  <c r="S15"/>
  <c r="S16"/>
  <c r="S19"/>
  <c r="I26" i="1"/>
  <c r="H15" i="6"/>
  <c r="H14"/>
  <c r="H7"/>
  <c r="H6" s="1"/>
  <c r="H9" s="1"/>
  <c r="U46" i="4" l="1"/>
  <c r="U19"/>
  <c r="U90"/>
  <c r="U85"/>
  <c r="U69"/>
  <c r="U68"/>
  <c r="U103"/>
  <c r="I87"/>
  <c r="U60"/>
  <c r="U109"/>
  <c r="U74"/>
  <c r="U96"/>
  <c r="U105"/>
  <c r="U106"/>
  <c r="U128"/>
  <c r="I140" i="8"/>
  <c r="U118"/>
  <c r="U125" i="4"/>
  <c r="U62"/>
  <c r="U71"/>
  <c r="U76"/>
  <c r="U89"/>
  <c r="U95"/>
  <c r="U80"/>
  <c r="U121"/>
  <c r="U112"/>
  <c r="U70"/>
  <c r="U130"/>
  <c r="U72"/>
  <c r="U77"/>
  <c r="U35"/>
  <c r="U115"/>
  <c r="U79"/>
  <c r="U111"/>
  <c r="U75"/>
  <c r="U110"/>
  <c r="U73"/>
  <c r="U91"/>
  <c r="U20"/>
  <c r="U66"/>
  <c r="U63"/>
  <c r="U65"/>
  <c r="U47"/>
  <c r="U102"/>
  <c r="U101"/>
  <c r="U100"/>
  <c r="U99"/>
  <c r="U39"/>
  <c r="U104"/>
  <c r="U40"/>
  <c r="U64"/>
  <c r="U97"/>
  <c r="L67"/>
  <c r="P67"/>
  <c r="N67"/>
  <c r="R67"/>
  <c r="P131"/>
  <c r="L131"/>
  <c r="N131"/>
  <c r="R131"/>
  <c r="N43"/>
  <c r="L43"/>
  <c r="R43"/>
  <c r="P43"/>
  <c r="R13"/>
  <c r="P13"/>
  <c r="L13"/>
  <c r="N13"/>
  <c r="P124"/>
  <c r="N124"/>
  <c r="R124"/>
  <c r="L124"/>
  <c r="R12"/>
  <c r="P12"/>
  <c r="L12"/>
  <c r="N12"/>
  <c r="P123"/>
  <c r="R123"/>
  <c r="N123"/>
  <c r="L123"/>
  <c r="L84"/>
  <c r="P84"/>
  <c r="R84"/>
  <c r="N84"/>
  <c r="R34"/>
  <c r="P34"/>
  <c r="N34"/>
  <c r="L34"/>
  <c r="N127"/>
  <c r="P127"/>
  <c r="L127"/>
  <c r="R127"/>
  <c r="P78"/>
  <c r="N78"/>
  <c r="L78"/>
  <c r="R78"/>
  <c r="U50"/>
  <c r="U15"/>
  <c r="U120"/>
  <c r="U16"/>
  <c r="U127"/>
  <c r="U88"/>
  <c r="U56"/>
  <c r="H31" i="6"/>
  <c r="H32"/>
  <c r="H34"/>
  <c r="H35"/>
  <c r="H37"/>
  <c r="H29"/>
  <c r="U12" i="4" l="1"/>
  <c r="U67"/>
  <c r="U43"/>
  <c r="U78"/>
  <c r="U34"/>
  <c r="U119"/>
  <c r="U118"/>
  <c r="U126"/>
  <c r="U129"/>
  <c r="U122"/>
  <c r="U13"/>
  <c r="H38" i="6"/>
  <c r="A20" i="5" l="1"/>
  <c r="C20"/>
  <c r="C21" s="1"/>
  <c r="M15" l="1"/>
  <c r="F10" s="1"/>
  <c r="H10" s="1"/>
  <c r="K15" l="1"/>
  <c r="F8" s="1"/>
  <c r="L15"/>
  <c r="F9" s="1"/>
  <c r="N15"/>
  <c r="F11" s="1"/>
  <c r="H11" s="1"/>
  <c r="O15"/>
  <c r="F12" s="1"/>
  <c r="P15"/>
  <c r="F13" s="1"/>
  <c r="H13" s="1"/>
  <c r="C6"/>
  <c r="H12" i="1"/>
  <c r="H13"/>
  <c r="H15"/>
  <c r="H16"/>
  <c r="H19"/>
  <c r="I19" s="1"/>
  <c r="G123"/>
  <c r="H123" s="1"/>
  <c r="E124"/>
  <c r="E123" s="1"/>
  <c r="G47"/>
  <c r="H47" s="1"/>
  <c r="I47" s="1"/>
  <c r="I123" l="1"/>
  <c r="C18" i="5"/>
  <c r="C19" s="1"/>
  <c r="A18"/>
  <c r="C16"/>
  <c r="A16"/>
  <c r="C14"/>
  <c r="A14"/>
  <c r="H12"/>
  <c r="H9"/>
  <c r="H8"/>
  <c r="A6"/>
  <c r="I16" i="1"/>
  <c r="I15"/>
  <c r="E13"/>
  <c r="I13" s="1"/>
  <c r="E12"/>
  <c r="I12" s="1"/>
  <c r="E15" i="5" l="1"/>
  <c r="H15" s="1"/>
  <c r="I9" i="1"/>
  <c r="H6" i="5"/>
  <c r="F21" i="4" l="1"/>
  <c r="H21" s="1"/>
  <c r="I21" s="1"/>
  <c r="L21" s="1"/>
  <c r="F21" i="8"/>
  <c r="H21" s="1"/>
  <c r="I21" s="1"/>
  <c r="F21" i="1"/>
  <c r="H21" s="1"/>
  <c r="I21" s="1"/>
  <c r="H14" i="5"/>
  <c r="E17"/>
  <c r="G130" i="1"/>
  <c r="H130" s="1"/>
  <c r="I130" s="1"/>
  <c r="G34"/>
  <c r="H34" s="1"/>
  <c r="E34"/>
  <c r="G132"/>
  <c r="H132" s="1"/>
  <c r="I132" s="1"/>
  <c r="G133"/>
  <c r="H133" s="1"/>
  <c r="I133" s="1"/>
  <c r="G134"/>
  <c r="H134" s="1"/>
  <c r="I134" s="1"/>
  <c r="G135"/>
  <c r="H135" s="1"/>
  <c r="I135" s="1"/>
  <c r="N21" i="4" l="1"/>
  <c r="R21"/>
  <c r="P21"/>
  <c r="H17" i="5"/>
  <c r="E21"/>
  <c r="H21" s="1"/>
  <c r="E19"/>
  <c r="F20" i="1"/>
  <c r="H20" s="1"/>
  <c r="I20" s="1"/>
  <c r="I34"/>
  <c r="H31"/>
  <c r="I31" s="1"/>
  <c r="H30"/>
  <c r="I30" s="1"/>
  <c r="G131"/>
  <c r="H131" s="1"/>
  <c r="E131"/>
  <c r="G126"/>
  <c r="H126" s="1"/>
  <c r="I126" s="1"/>
  <c r="E127"/>
  <c r="G127"/>
  <c r="H127" s="1"/>
  <c r="G125"/>
  <c r="H125" s="1"/>
  <c r="I125" s="1"/>
  <c r="G124"/>
  <c r="H124" s="1"/>
  <c r="F22" i="8" l="1"/>
  <c r="H22" s="1"/>
  <c r="I22" s="1"/>
  <c r="F22" i="4"/>
  <c r="H22" s="1"/>
  <c r="I22" s="1"/>
  <c r="F24" i="8"/>
  <c r="H24" s="1"/>
  <c r="I24" s="1"/>
  <c r="F24" i="4"/>
  <c r="H24" s="1"/>
  <c r="I24" s="1"/>
  <c r="P24" s="1"/>
  <c r="U21"/>
  <c r="F22" i="1"/>
  <c r="H22" s="1"/>
  <c r="I22" s="1"/>
  <c r="H19" i="5"/>
  <c r="H20"/>
  <c r="F24" i="1"/>
  <c r="H24" s="1"/>
  <c r="I24" s="1"/>
  <c r="H16" i="5"/>
  <c r="I131" i="1"/>
  <c r="I129" s="1"/>
  <c r="I124"/>
  <c r="I127"/>
  <c r="G120"/>
  <c r="G117"/>
  <c r="G116"/>
  <c r="G115"/>
  <c r="G114"/>
  <c r="G111"/>
  <c r="G110"/>
  <c r="G109"/>
  <c r="G108"/>
  <c r="G107"/>
  <c r="G106"/>
  <c r="G105"/>
  <c r="G104"/>
  <c r="G102"/>
  <c r="G101"/>
  <c r="G100"/>
  <c r="G96"/>
  <c r="G95"/>
  <c r="G94"/>
  <c r="G93"/>
  <c r="G91"/>
  <c r="G90"/>
  <c r="G84"/>
  <c r="G83"/>
  <c r="G82"/>
  <c r="G81"/>
  <c r="G80"/>
  <c r="G78"/>
  <c r="G77"/>
  <c r="G76"/>
  <c r="G75"/>
  <c r="G74"/>
  <c r="G73"/>
  <c r="G72"/>
  <c r="G71"/>
  <c r="G70"/>
  <c r="G67"/>
  <c r="G64"/>
  <c r="G63"/>
  <c r="G62"/>
  <c r="G61"/>
  <c r="G58"/>
  <c r="G57"/>
  <c r="G46"/>
  <c r="G43"/>
  <c r="G40"/>
  <c r="G39"/>
  <c r="G35"/>
  <c r="N24" i="4" l="1"/>
  <c r="R24"/>
  <c r="N22"/>
  <c r="R22"/>
  <c r="F23" i="8"/>
  <c r="H23" s="1"/>
  <c r="I23" s="1"/>
  <c r="I18" s="1"/>
  <c r="F23" i="4"/>
  <c r="H23" s="1"/>
  <c r="I23" s="1"/>
  <c r="P23" s="1"/>
  <c r="L24"/>
  <c r="L22"/>
  <c r="P22"/>
  <c r="I122" i="1"/>
  <c r="F23"/>
  <c r="H23" s="1"/>
  <c r="I23" s="1"/>
  <c r="I18" s="1"/>
  <c r="H18" i="5"/>
  <c r="E67" i="1"/>
  <c r="H67"/>
  <c r="U24" i="4" l="1"/>
  <c r="I18"/>
  <c r="I138" s="1"/>
  <c r="T129" s="1"/>
  <c r="I138" i="8"/>
  <c r="P137" i="4"/>
  <c r="R23"/>
  <c r="R137" s="1"/>
  <c r="L23"/>
  <c r="L137" s="1"/>
  <c r="N23"/>
  <c r="N137" s="1"/>
  <c r="U22"/>
  <c r="I67" i="1"/>
  <c r="H120"/>
  <c r="I120" s="1"/>
  <c r="I119" s="1"/>
  <c r="H117"/>
  <c r="I117" s="1"/>
  <c r="H116"/>
  <c r="I116" s="1"/>
  <c r="H115"/>
  <c r="I115" s="1"/>
  <c r="H114"/>
  <c r="I114" s="1"/>
  <c r="H111"/>
  <c r="I111" s="1"/>
  <c r="H110"/>
  <c r="I110" s="1"/>
  <c r="H109"/>
  <c r="I109" s="1"/>
  <c r="H108"/>
  <c r="I108" s="1"/>
  <c r="H107"/>
  <c r="I107" s="1"/>
  <c r="H106"/>
  <c r="I106" s="1"/>
  <c r="H105"/>
  <c r="I105" s="1"/>
  <c r="H104"/>
  <c r="I104" s="1"/>
  <c r="H102"/>
  <c r="I102" s="1"/>
  <c r="H101"/>
  <c r="I101" s="1"/>
  <c r="H100"/>
  <c r="I100" s="1"/>
  <c r="H96"/>
  <c r="I96" s="1"/>
  <c r="H95"/>
  <c r="I95" s="1"/>
  <c r="H94"/>
  <c r="I94" s="1"/>
  <c r="H93"/>
  <c r="I93" s="1"/>
  <c r="H91"/>
  <c r="I91" s="1"/>
  <c r="H90"/>
  <c r="I90" s="1"/>
  <c r="H84"/>
  <c r="H83"/>
  <c r="I83" s="1"/>
  <c r="H82"/>
  <c r="I82" s="1"/>
  <c r="H81"/>
  <c r="I81" s="1"/>
  <c r="H80"/>
  <c r="I80" s="1"/>
  <c r="H76"/>
  <c r="I76" s="1"/>
  <c r="H75"/>
  <c r="I75" s="1"/>
  <c r="H74"/>
  <c r="I74" s="1"/>
  <c r="H73"/>
  <c r="I73" s="1"/>
  <c r="H72"/>
  <c r="I72" s="1"/>
  <c r="H71"/>
  <c r="I71" s="1"/>
  <c r="H70"/>
  <c r="I70" s="1"/>
  <c r="H64"/>
  <c r="I64" s="1"/>
  <c r="H63"/>
  <c r="I63" s="1"/>
  <c r="H62"/>
  <c r="I62" s="1"/>
  <c r="H61"/>
  <c r="I61" s="1"/>
  <c r="H58"/>
  <c r="I58" s="1"/>
  <c r="H57"/>
  <c r="I57" s="1"/>
  <c r="H46"/>
  <c r="I46" s="1"/>
  <c r="H43"/>
  <c r="H40"/>
  <c r="I40" s="1"/>
  <c r="H39"/>
  <c r="I39" s="1"/>
  <c r="T49" i="4" l="1"/>
  <c r="T55"/>
  <c r="P138"/>
  <c r="T18"/>
  <c r="T113"/>
  <c r="T26"/>
  <c r="T28"/>
  <c r="T37"/>
  <c r="T9"/>
  <c r="T138"/>
  <c r="T42"/>
  <c r="T87"/>
  <c r="T119"/>
  <c r="T122"/>
  <c r="L138"/>
  <c r="I140"/>
  <c r="T122" i="8"/>
  <c r="N138"/>
  <c r="P138"/>
  <c r="R138"/>
  <c r="L138"/>
  <c r="T49"/>
  <c r="T42"/>
  <c r="T87"/>
  <c r="T138"/>
  <c r="T37"/>
  <c r="T113"/>
  <c r="T9"/>
  <c r="T55"/>
  <c r="T26"/>
  <c r="T129"/>
  <c r="T119"/>
  <c r="T28"/>
  <c r="T18"/>
  <c r="R138" i="4"/>
  <c r="N138"/>
  <c r="U23"/>
  <c r="I98" i="1"/>
  <c r="I113"/>
  <c r="I88"/>
  <c r="I79"/>
  <c r="I69"/>
  <c r="I68"/>
  <c r="I53"/>
  <c r="I52"/>
  <c r="I51"/>
  <c r="I50"/>
  <c r="I45"/>
  <c r="I38"/>
  <c r="I37" s="1"/>
  <c r="I33"/>
  <c r="E84"/>
  <c r="I84" s="1"/>
  <c r="U138" i="4" l="1"/>
  <c r="T139"/>
  <c r="T140" s="1"/>
  <c r="T141" s="1"/>
  <c r="U138" i="8"/>
  <c r="U133"/>
  <c r="T139"/>
  <c r="T140" s="1"/>
  <c r="T141" s="1"/>
  <c r="I87" i="1"/>
  <c r="I49"/>
  <c r="F78"/>
  <c r="H78" s="1"/>
  <c r="I78" s="1"/>
  <c r="H77"/>
  <c r="I77" s="1"/>
  <c r="I55" l="1"/>
  <c r="H35"/>
  <c r="I35" s="1"/>
  <c r="I28" s="1"/>
  <c r="E43"/>
  <c r="I43" s="1"/>
  <c r="E44"/>
  <c r="I44" s="1"/>
  <c r="I42" l="1"/>
  <c r="I138" s="1"/>
  <c r="K129" s="1"/>
  <c r="K55" l="1"/>
  <c r="K42"/>
  <c r="K122"/>
  <c r="K26"/>
  <c r="K18"/>
  <c r="K9"/>
  <c r="K119"/>
  <c r="K113"/>
  <c r="K37"/>
  <c r="K49"/>
  <c r="K28"/>
  <c r="K87"/>
  <c r="H142"/>
  <c r="K138" l="1"/>
  <c r="U133" i="4" l="1"/>
</calcChain>
</file>

<file path=xl/connections.xml><?xml version="1.0" encoding="utf-8"?>
<connections xmlns="http://schemas.openxmlformats.org/spreadsheetml/2006/main">
  <connection id="1" name="Tabela de acessório de tubo" type="6" refreshedVersion="5" background="1" saveData="1">
    <textPr sourceFile="\\Srvarq1-trf1\secad\DIVOB\PROJETOS\0- PROJETOS VIGENTES\ARQUITETURA E COMPLEMENTARES\ESCRITÓRIO DA OBRA\Tabelas para montar orçamento\Tabela de acessório de tubo.txt" delimited="0" decimal="," thousands=".">
      <textFields count="10">
        <textField/>
        <textField position="38"/>
        <textField position="42"/>
        <textField position="50"/>
        <textField position="52"/>
        <textField position="57"/>
        <textField position="61"/>
        <textField position="63"/>
        <textField position="76"/>
        <textField position="78"/>
      </textFields>
    </textPr>
  </connection>
  <connection id="2" name="Tabela de acessório de tubo1" type="6" refreshedVersion="5" background="1" saveData="1">
    <textPr sourceFile="\\Srvarq1-trf1\secad\DIVOB\PROJETOS\0- PROJETOS VIGENTES\ARQUITETURA E COMPLEMENTARES\ESCRITÓRIO DA OBRA\Tabelas para montar orçamento\Tabela de acessório de tubo.txt" delimited="0" decimal="," thousands=".">
      <textFields count="10">
        <textField/>
        <textField position="38"/>
        <textField position="42"/>
        <textField position="50"/>
        <textField position="52"/>
        <textField position="57"/>
        <textField position="61"/>
        <textField position="63"/>
        <textField position="76"/>
        <textField position="78"/>
      </textFields>
    </textPr>
  </connection>
  <connection id="3" name="Tabela de acessório de tubo11" type="6" refreshedVersion="5" background="1" saveData="1">
    <textPr sourceFile="\\Srvarq1-trf1\secad\DIVOB\PROJETOS\0- PROJETOS VIGENTES\ARQUITETURA E COMPLEMENTARES\ESCRITÓRIO DA OBRA\Tabelas para montar orçamento\Tabela de acessório de tubo.txt" delimited="0" decimal="," thousands=".">
      <textFields count="10">
        <textField/>
        <textField position="38"/>
        <textField position="42"/>
        <textField position="50"/>
        <textField position="52"/>
        <textField position="57"/>
        <textField position="61"/>
        <textField position="63"/>
        <textField position="76"/>
        <textField position="78"/>
      </textFields>
    </textPr>
  </connection>
  <connection id="4" name="Tabela de bancadas" type="6" refreshedVersion="5" background="1" saveData="1">
    <textPr sourceFile="\\Srvarq1-trf1\secad\DIVOB\PROJETOS\0- PROJETOS VIGENTES\ARQUITETURA E COMPLEMENTARES\ESCRITÓRIO DA OBRA\Tabelas para montar orçamento\Tabela de bancadas.txt" delimited="0" decimal="," thousands=".">
      <textFields count="34">
        <textField/>
        <textField position="29"/>
        <textField position="32"/>
        <textField position="40"/>
        <textField position="50"/>
        <textField position="54"/>
        <textField position="56"/>
        <textField position="62"/>
        <textField position="66"/>
        <textField position="71"/>
        <textField position="82"/>
        <textField position="90"/>
        <textField position="96"/>
        <textField position="101"/>
        <textField position="109"/>
        <textField position="112"/>
        <textField position="117"/>
        <textField position="125"/>
        <textField position="128"/>
        <textField position="137"/>
        <textField position="145"/>
        <textField position="150"/>
        <textField position="160"/>
        <textField position="162"/>
        <textField position="171"/>
        <textField position="179"/>
        <textField position="186"/>
        <textField position="189"/>
        <textField position="197"/>
        <textField position="204"/>
        <textField position="212"/>
        <textField position="214"/>
        <textField position="227"/>
        <textField position="229"/>
      </textFields>
    </textPr>
  </connection>
  <connection id="5" name="Tabela de bancadas1" type="6" refreshedVersion="5" deleted="1" background="1" saveData="1">
    <textPr sourceFile="\\Srvarq1-trf1\secad\DIVOB\PROJETOS\0- PROJETOS VIGENTES\ARQUITETURA E COMPLEMENTARES\ESCRITÓRIO DA OBRA\Tabelas para montar orçamento\Tabela de bancadas.txt" delimited="0" decimal="," thousands=".">
      <textFields count="34">
        <textField/>
        <textField position="29"/>
        <textField position="32"/>
        <textField position="40"/>
        <textField position="50"/>
        <textField position="54"/>
        <textField position="56"/>
        <textField position="62"/>
        <textField position="66"/>
        <textField position="71"/>
        <textField position="82"/>
        <textField position="90"/>
        <textField position="96"/>
        <textField position="101"/>
        <textField position="109"/>
        <textField position="112"/>
        <textField position="117"/>
        <textField position="125"/>
        <textField position="128"/>
        <textField position="137"/>
        <textField position="145"/>
        <textField position="150"/>
        <textField position="160"/>
        <textField position="162"/>
        <textField position="171"/>
        <textField position="179"/>
        <textField position="186"/>
        <textField position="189"/>
        <textField position="197"/>
        <textField position="204"/>
        <textField position="212"/>
        <textField position="214"/>
        <textField position="227"/>
        <textField position="229"/>
      </textFields>
    </textPr>
  </connection>
  <connection id="6" name="Tabela de conexões de tubos" type="6" refreshedVersion="5" background="1" saveData="1">
    <textPr sourceFile="\\Srvarq1-trf1\secad\DIVOB\PROJETOS\0- PROJETOS VIGENTES\ARQUITETURA E COMPLEMENTARES\ESCRITÓRIO DA OBRA\Tabelas para montar orçamento\Tabela de conexões de tubos.txt" decimal="," thousands=".">
      <textFields count="6">
        <textField/>
        <textField/>
        <textField/>
        <textField/>
        <textField/>
        <textField/>
      </textFields>
    </textPr>
  </connection>
  <connection id="7" name="Tabela de conexões de tubos1" type="6" refreshedVersion="5" background="1" saveData="1">
    <textPr sourceFile="\\Srvarq1-trf1\secad\DIVOB\PROJETOS\0- PROJETOS VIGENTES\ARQUITETURA E COMPLEMENTARES\ESCRITÓRIO DA OBRA\Tabelas para montar orçamento\Tabela de conexões de tubos.txt" decimal="," thousands=".">
      <textFields count="6">
        <textField/>
        <textField/>
        <textField/>
        <textField/>
        <textField/>
        <textField/>
      </textFields>
    </textPr>
  </connection>
  <connection id="8" name="Tabela de conexões de tubos11" type="6" refreshedVersion="5" background="1" saveData="1">
    <textPr sourceFile="\\Srvarq1-trf1\secad\DIVOB\PROJETOS\0- PROJETOS VIGENTES\ARQUITETURA E COMPLEMENTARES\ESCRITÓRIO DA OBRA\Tabelas para montar orçamento\Tabela de conexões de tubos.txt" decimal="," thousands=".">
      <textFields count="6">
        <textField/>
        <textField/>
        <textField/>
        <textField/>
        <textField/>
        <textField/>
      </textFields>
    </textPr>
  </connection>
  <connection id="9" name="Tabela de conexões de tubos12" type="6" refreshedVersion="5" background="1" saveData="1">
    <textPr sourceFile="\\Srvarq1-trf1\secad\DIVOB\PROJETOS\0- PROJETOS VIGENTES\ARQUITETURA E COMPLEMENTARES\ESCRITÓRIO DA OBRA\Tabelas para montar orçamento\Tabela de conexões de tubos.txt" decimal="," thousands=".">
      <textFields count="6">
        <textField/>
        <textField/>
        <textField/>
        <textField/>
        <textField/>
        <textField/>
      </textFields>
    </textPr>
  </connection>
  <connection id="10" name="Tabela de conexões de tubos2" type="6" refreshedVersion="5" background="1" saveData="1">
    <textPr sourceFile="\\Srvarq1-trf1\secad\DIVOB\PROJETOS\0- PROJETOS VIGENTES\ARQUITETURA E COMPLEMENTARES\ESCRITÓRIO DA OBRA\Tabelas para montar orçamento\Tabela de conexões de tubos.txt" decimal="," thousands=".">
      <textFields count="6">
        <textField/>
        <textField/>
        <textField/>
        <textField/>
        <textField/>
        <textField/>
      </textFields>
    </textPr>
  </connection>
  <connection id="11" name="Tabela de conexões de tubos4" type="6" refreshedVersion="5" background="1" saveData="1">
    <textPr sourceFile="\\Srvarq1-trf1\secad\DIVOB\PROJETOS\0- PROJETOS VIGENTES\ARQUITETURA E COMPLEMENTARES\ESCRITÓRIO DA OBRA\Tabelas para montar orçamento\Tabela de conexões de tubos.txt" decimal="," thousands=".">
      <textFields count="6">
        <textField/>
        <textField/>
        <textField/>
        <textField/>
        <textField/>
        <textField/>
      </textFields>
    </textPr>
  </connection>
  <connection id="12" name="Tabela de conexões de tubos41" type="6" refreshedVersion="5" background="1" saveData="1">
    <textPr sourceFile="\\Srvarq1-trf1\secad\DIVOB\PROJETOS\0- PROJETOS VIGENTES\ARQUITETURA E COMPLEMENTARES\ESCRITÓRIO DA OBRA\Tabelas para montar orçamento\Tabela de conexões de tubos.txt" decimal="," thousands=".">
      <textFields count="6">
        <textField/>
        <textField/>
        <textField/>
        <textField/>
        <textField/>
        <textField/>
      </textFields>
    </textPr>
  </connection>
  <connection id="13" name="Tabela de janela" type="6" refreshedVersion="5" background="1" saveData="1">
    <textPr sourceFile="\\Srvarq1-trf1\secad\DIVOB\PROJETOS\0- PROJETOS VIGENTES\ARQUITETURA E COMPLEMENTARES\ESCRITÓRIO DA OBRA\Tabelas para montar orçamento\Tabela de janela.txt" decimal="," thousands=".">
      <textFields count="6">
        <textField/>
        <textField/>
        <textField/>
        <textField/>
        <textField/>
        <textField/>
      </textFields>
    </textPr>
  </connection>
  <connection id="14" name="Tabela de janela1" type="6" refreshedVersion="5" background="1" saveData="1">
    <textPr sourceFile="\\Srvarq1-trf1\secad\DIVOB\PROJETOS\0- PROJETOS VIGENTES\ARQUITETURA E COMPLEMENTARES\ESCRITÓRIO DA OBRA\Tabelas para montar orçamento\Tabela de janela.txt" decimal="," thousands=".">
      <textFields count="6">
        <textField/>
        <textField/>
        <textField/>
        <textField/>
        <textField/>
        <textField/>
      </textFields>
    </textPr>
  </connection>
  <connection id="15" name="Tabela de janela11" type="6" refreshedVersion="5" background="1" saveData="1">
    <textPr sourceFile="\\Srvarq1-trf1\secad\DIVOB\PROJETOS\0- PROJETOS VIGENTES\ARQUITETURA E COMPLEMENTARES\ESCRITÓRIO DA OBRA\Tabelas para montar orçamento\Tabela de janela.txt" decimal="," thousands=".">
      <textFields count="6">
        <textField/>
        <textField/>
        <textField/>
        <textField/>
        <textField/>
        <textField/>
      </textFields>
    </textPr>
  </connection>
  <connection id="16" name="Tabela de janela12" type="6" refreshedVersion="5" background="1" saveData="1">
    <textPr sourceFile="\\Srvarq1-trf1\secad\DIVOB\PROJETOS\0- PROJETOS VIGENTES\ARQUITETURA E COMPLEMENTARES\ESCRITÓRIO DA OBRA\Tabelas para montar orçamento\Tabela de janela.txt" decimal="," thousands=".">
      <textFields count="6">
        <textField/>
        <textField/>
        <textField/>
        <textField/>
        <textField/>
        <textField/>
      </textFields>
    </textPr>
  </connection>
  <connection id="17" name="Tabela de janela2" type="6" refreshedVersion="5" background="1" saveData="1">
    <textPr sourceFile="\\Srvarq1-trf1\secad\DIVOB\PROJETOS\0- PROJETOS VIGENTES\ARQUITETURA E COMPLEMENTARES\ESCRITÓRIO DA OBRA\Tabelas para montar orçamento\Tabela de janela.txt" decimal="," thousands=".">
      <textFields count="6">
        <textField/>
        <textField/>
        <textField/>
        <textField/>
        <textField/>
        <textField/>
      </textFields>
    </textPr>
  </connection>
  <connection id="18" name="Tabela de janela4" type="6" refreshedVersion="5" background="1" saveData="1">
    <textPr sourceFile="\\Srvarq1-trf1\secad\DIVOB\PROJETOS\0- PROJETOS VIGENTES\ARQUITETURA E COMPLEMENTARES\ESCRITÓRIO DA OBRA\Tabelas para montar orçamento\Tabela de janela.txt" decimal="," thousands=".">
      <textFields count="6">
        <textField/>
        <textField/>
        <textField/>
        <textField/>
        <textField/>
        <textField/>
      </textFields>
    </textPr>
  </connection>
  <connection id="19" name="Tabela de janela41" type="6" refreshedVersion="5" background="1" saveData="1">
    <textPr sourceFile="\\Srvarq1-trf1\secad\DIVOB\PROJETOS\0- PROJETOS VIGENTES\ARQUITETURA E COMPLEMENTARES\ESCRITÓRIO DA OBRA\Tabelas para montar orçamento\Tabela de janela.txt" decimal="," thousands=".">
      <textFields count="6">
        <textField/>
        <textField/>
        <textField/>
        <textField/>
        <textField/>
        <textField/>
      </textFields>
    </textPr>
  </connection>
  <connection id="20" name="Tabela de material hidráulico" type="6" refreshedVersion="5" background="1" saveData="1">
    <textPr sourceFile="\\Srvarq1-trf1\secad\DIVOB\PROJETOS\0- PROJETOS VIGENTES\ARQUITETURA E COMPLEMENTARES\ESCRITÓRIO DA OBRA\Tabelas para montar orçamento\Tabela de material hidráulico.txt" delimited="0" decimal="," thousands=".">
      <textFields count="7">
        <textField/>
        <textField position="102"/>
        <textField position="135"/>
        <textField position="137"/>
        <textField position="164"/>
        <textField position="177"/>
        <textField position="179"/>
      </textFields>
    </textPr>
  </connection>
  <connection id="21" name="Tabela de material hidráulico 2" type="6" refreshedVersion="5" background="1" saveData="1">
    <textPr sourceFile="\\Srvarq1-trf1\secad\DIVOB\PROJETOS\0- PROJETOS VIGENTES\ARQUITETURA E COMPLEMENTARES\ESCRITÓRIO DA OBRA\Tabelas para montar orçamento\Tabela de material hidráulico 2.txt" decimal="," thousands=".">
      <textFields count="1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name="Tabela de material hidráulico 21" type="6" refreshedVersion="5" deleted="1" background="1" saveData="1">
    <textPr sourceFile="\\Srvarq1-trf1\secad\DIVOB\PROJETOS\0- PROJETOS VIGENTES\ARQUITETURA E COMPLEMENTARES\ESCRITÓRIO DA OBRA\Tabelas para montar orçamento\Tabela de material hidráulico 2.txt" decimal="," thousands=".">
      <textFields count="1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name="Tabela de material hidráulico1" type="6" refreshedVersion="5" background="1" saveData="1">
    <textPr sourceFile="\\Srvarq1-trf1\secad\DIVOB\PROJETOS\0- PROJETOS VIGENTES\ARQUITETURA E COMPLEMENTARES\ESCRITÓRIO DA OBRA\Tabelas para montar orçamento\Tabela de material hidráulico.txt" delimited="0" decimal="," thousands=".">
      <textFields count="7">
        <textField/>
        <textField position="102"/>
        <textField position="135"/>
        <textField position="137"/>
        <textField position="164"/>
        <textField position="177"/>
        <textField position="179"/>
      </textFields>
    </textPr>
  </connection>
  <connection id="24" name="Tabela de material hidráulico11" type="6" refreshedVersion="5" background="1" saveData="1">
    <textPr sourceFile="\\Srvarq1-trf1\secad\DIVOB\PROJETOS\0- PROJETOS VIGENTES\ARQUITETURA E COMPLEMENTARES\ESCRITÓRIO DA OBRA\Tabelas para montar orçamento\Tabela de material hidráulico.txt" delimited="0" decimal="," thousands=".">
      <textFields count="7">
        <textField/>
        <textField position="102"/>
        <textField position="135"/>
        <textField position="137"/>
        <textField position="164"/>
        <textField position="177"/>
        <textField position="179"/>
      </textFields>
    </textPr>
  </connection>
  <connection id="25" name="Tabela de material hidráulico12" type="6" refreshedVersion="5" background="1" saveData="1">
    <textPr sourceFile="\\Srvarq1-trf1\secad\DIVOB\PROJETOS\0- PROJETOS VIGENTES\ARQUITETURA E COMPLEMENTARES\ESCRITÓRIO DA OBRA\Tabelas para montar orçamento\Tabela de material hidráulico.txt" delimited="0" decimal="," thousands=".">
      <textFields count="7">
        <textField/>
        <textField position="102"/>
        <textField position="135"/>
        <textField position="137"/>
        <textField position="164"/>
        <textField position="177"/>
        <textField position="179"/>
      </textFields>
    </textPr>
  </connection>
  <connection id="26" name="Tabela de material hidráulico2" type="6" refreshedVersion="5" background="1" saveData="1">
    <textPr sourceFile="\\Srvarq1-trf1\secad\DIVOB\PROJETOS\0- PROJETOS VIGENTES\ARQUITETURA E COMPLEMENTARES\ESCRITÓRIO DA OBRA\Tabelas para montar orçamento\Tabela de material hidráulico.txt" delimited="0" decimal="," thousands=".">
      <textFields count="7">
        <textField/>
        <textField position="102"/>
        <textField position="135"/>
        <textField position="137"/>
        <textField position="164"/>
        <textField position="177"/>
        <textField position="179"/>
      </textFields>
    </textPr>
  </connection>
  <connection id="27" name="Tabela de parede" type="6" refreshedVersion="5" background="1" saveData="1">
    <textPr sourceFile="\\Srvarq1-trf1\secad\DIVOB\PROJETOS\0- PROJETOS VIGENTES\ARQUITETURA E COMPLEMENTARES\ESCRITÓRIO DA OBRA\Tabelas para montar orçamento\Tabela de parede.txt" decimal="," thousands=".">
      <textFields count="2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" name="Tabela de parede1" type="6" refreshedVersion="5" background="1" saveData="1">
    <textPr sourceFile="\\Srvarq1-trf1\secad\DIVOB\PROJETOS\0- PROJETOS VIGENTES\ARQUITETURA E COMPLEMENTARES\ESCRITÓRIO DA OBRA\Tabelas para montar orçamento\Tabela de parede.txt" decimal="," thousands=".">
      <textFields count="2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" name="Tabela de parede11" type="6" refreshedVersion="5" background="1" saveData="1">
    <textPr sourceFile="\\Srvarq1-trf1\secad\DIVOB\PROJETOS\0- PROJETOS VIGENTES\ARQUITETURA E COMPLEMENTARES\ESCRITÓRIO DA OBRA\Tabelas para montar orçamento\Tabela de parede.txt" decimal="," thousands=".">
      <textFields count="2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" name="Tabela de parede12" type="6" refreshedVersion="5" background="1" saveData="1">
    <textPr sourceFile="\\Srvarq1-trf1\secad\DIVOB\PROJETOS\0- PROJETOS VIGENTES\ARQUITETURA E COMPLEMENTARES\ESCRITÓRIO DA OBRA\Tabelas para montar orçamento\Tabela de parede.txt" decimal="," thousands=".">
      <textFields count="2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" name="Tabela de parede2" type="6" refreshedVersion="5" background="1" saveData="1">
    <textPr sourceFile="\\Srvarq1-trf1\secad\DIVOB\PROJETOS\0- PROJETOS VIGENTES\ARQUITETURA E COMPLEMENTARES\ESCRITÓRIO DA OBRA\Tabelas para montar orçamento\Tabela de parede.txt" decimal="," thousands=".">
      <textFields count="2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" name="Tabela de parede4" type="6" refreshedVersion="5" background="1" saveData="1">
    <textPr sourceFile="\\Srvarq1-trf1\secad\DIVOB\PROJETOS\0- PROJETOS VIGENTES\ARQUITETURA E COMPLEMENTARES\ESCRITÓRIO DA OBRA\Tabelas para montar orçamento\Tabela de parede.txt" decimal="," thousands=".">
      <textFields count="2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" name="Tabela de parede41" type="6" refreshedVersion="5" background="1" saveData="1">
    <textPr sourceFile="\\Srvarq1-trf1\secad\DIVOB\PROJETOS\0- PROJETOS VIGENTES\ARQUITETURA E COMPLEMENTARES\ESCRITÓRIO DA OBRA\Tabelas para montar orçamento\Tabela de parede.txt" decimal="," thousands=".">
      <textFields count="2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" name="Tabela de piso" type="6" refreshedVersion="5" background="1" saveData="1">
    <textPr sourceFile="\\Srvarq1-trf1\secad\DIVOB\PROJETOS\0- PROJETOS VIGENTES\ARQUITETURA E COMPLEMENTARES\ESCRITÓRIO DA OBRA\Tabelas para montar orçamento\Tabela de piso.txt" decimal="," thousands=".">
      <textFields count="3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" name="Tabela de piso1" type="6" refreshedVersion="5" background="1" saveData="1">
    <textPr sourceFile="\\Srvarq1-trf1\secad\DIVOB\PROJETOS\0- PROJETOS VIGENTES\ARQUITETURA E COMPLEMENTARES\ESCRITÓRIO DA OBRA\Tabelas para montar orçamento\Tabela de piso.txt" decimal="," thousands=".">
      <textFields count="3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" name="Tabela de piso11" type="6" refreshedVersion="5" background="1" saveData="1">
    <textPr sourceFile="\\Srvarq1-trf1\secad\DIVOB\PROJETOS\0- PROJETOS VIGENTES\ARQUITETURA E COMPLEMENTARES\ESCRITÓRIO DA OBRA\Tabelas para montar orçamento\Tabela de piso.txt" decimal="," thousands=".">
      <textFields count="3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" name="Tabela de piso12" type="6" refreshedVersion="5" background="1" saveData="1">
    <textPr sourceFile="\\Srvarq1-trf1\secad\DIVOB\PROJETOS\0- PROJETOS VIGENTES\ARQUITETURA E COMPLEMENTARES\ESCRITÓRIO DA OBRA\Tabelas para montar orçamento\Tabela de piso.txt" decimal="," thousands=".">
      <textFields count="3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" name="Tabela de piso2" type="6" refreshedVersion="5" background="1" saveData="1">
    <textPr sourceFile="\\Srvarq1-trf1\secad\DIVOB\PROJETOS\0- PROJETOS VIGENTES\ARQUITETURA E COMPLEMENTARES\ESCRITÓRIO DA OBRA\Tabelas para montar orçamento\Tabela de piso.txt" decimal="," thousands=".">
      <textFields count="3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" name="Tabela de piso4" type="6" refreshedVersion="5" background="1" saveData="1">
    <textPr sourceFile="\\Srvarq1-trf1\secad\DIVOB\PROJETOS\0- PROJETOS VIGENTES\ARQUITETURA E COMPLEMENTARES\ESCRITÓRIO DA OBRA\Tabelas para montar orçamento\Tabela de piso.txt" decimal="," thousands=".">
      <textFields count="3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" name="Tabela de piso41" type="6" refreshedVersion="5" background="1" saveData="1">
    <textPr sourceFile="\\Srvarq1-trf1\secad\DIVOB\PROJETOS\0- PROJETOS VIGENTES\ARQUITETURA E COMPLEMENTARES\ESCRITÓRIO DA OBRA\Tabelas para montar orçamento\Tabela de piso.txt" decimal="," thousands=".">
      <textFields count="3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" name="Tabela de porta" type="6" refreshedVersion="5" background="1" saveData="1">
    <textPr sourceFile="\\Srvarq1-trf1\secad\DIVOB\PROJETOS\0- PROJETOS VIGENTES\ARQUITETURA E COMPLEMENTARES\ESCRITÓRIO DA OBRA\Tabelas para montar orçamento\Tabela de porta.txt" decimal="," thousands=".">
      <textFields>
        <textField/>
      </textFields>
    </textPr>
  </connection>
  <connection id="42" name="Tabela de porta1" type="6" refreshedVersion="5" background="1" saveData="1">
    <textPr sourceFile="\\Srvarq1-trf1\secad\DIVOB\PROJETOS\0- PROJETOS VIGENTES\ARQUITETURA E COMPLEMENTARES\ESCRITÓRIO DA OBRA\Tabelas para montar orçamento\Tabela de porta.txt" decimal="," thousands=".">
      <textFields>
        <textField/>
      </textFields>
    </textPr>
  </connection>
  <connection id="43" name="Tabela de porta11" type="6" refreshedVersion="5" background="1" saveData="1">
    <textPr sourceFile="\\Srvarq1-trf1\secad\DIVOB\PROJETOS\0- PROJETOS VIGENTES\ARQUITETURA E COMPLEMENTARES\ESCRITÓRIO DA OBRA\Tabelas para montar orçamento\Tabela de porta.txt" decimal="," thousands=".">
      <textFields>
        <textField/>
      </textFields>
    </textPr>
  </connection>
  <connection id="44" name="Tabela de porta12" type="6" refreshedVersion="5" background="1" saveData="1">
    <textPr sourceFile="\\Srvarq1-trf1\secad\DIVOB\PROJETOS\0- PROJETOS VIGENTES\ARQUITETURA E COMPLEMENTARES\ESCRITÓRIO DA OBRA\Tabelas para montar orçamento\Tabela de porta.txt" decimal="," thousands=".">
      <textFields>
        <textField/>
      </textFields>
    </textPr>
  </connection>
  <connection id="45" name="Tabela de porta2" type="6" refreshedVersion="5" background="1" saveData="1">
    <textPr sourceFile="\\Srvarq1-trf1\secad\DIVOB\PROJETOS\0- PROJETOS VIGENTES\ARQUITETURA E COMPLEMENTARES\ESCRITÓRIO DA OBRA\Tabelas para montar orçamento\Tabela de porta.txt" decimal="," thousands=".">
      <textFields>
        <textField/>
      </textFields>
    </textPr>
  </connection>
  <connection id="46" name="Tabela de tubos" type="6" refreshedVersion="5" background="1" saveData="1">
    <textPr sourceFile="\\Srvarq1-trf1\secad\DIVOB\PROJETOS\0- PROJETOS VIGENTES\ARQUITETURA E COMPLEMENTARES\ESCRITÓRIO DA OBRA\Tabelas para montar orçamento\Tabela de tubos.txt" decimal="," thousands=".">
      <textFields count="2">
        <textField/>
        <textField/>
      </textFields>
    </textPr>
  </connection>
  <connection id="47" name="Tabela de tubos1" type="6" refreshedVersion="5" background="1" saveData="1">
    <textPr sourceFile="\\Srvarq1-trf1\secad\DIVOB\PROJETOS\0- PROJETOS VIGENTES\ARQUITETURA E COMPLEMENTARES\ESCRITÓRIO DA OBRA\Tabelas para montar orçamento\Tabela de tubos.txt" decimal="," thousands=".">
      <textFields count="2">
        <textField/>
        <textField/>
      </textFields>
    </textPr>
  </connection>
  <connection id="48" name="Tabela de tubos11" type="6" refreshedVersion="5" background="1" saveData="1">
    <textPr sourceFile="\\Srvarq1-trf1\secad\DIVOB\PROJETOS\0- PROJETOS VIGENTES\ARQUITETURA E COMPLEMENTARES\ESCRITÓRIO DA OBRA\Tabelas para montar orçamento\Tabela de tubos.txt" decimal="," thousands=".">
      <textFields count="2">
        <textField/>
        <textField/>
      </textFields>
    </textPr>
  </connection>
  <connection id="49" name="Tabela de tubos12" type="6" refreshedVersion="5" background="1" saveData="1">
    <textPr sourceFile="\\Srvarq1-trf1\secad\DIVOB\PROJETOS\0- PROJETOS VIGENTES\ARQUITETURA E COMPLEMENTARES\ESCRITÓRIO DA OBRA\Tabelas para montar orçamento\Tabela de tubos.txt" decimal="," thousands=".">
      <textFields count="2">
        <textField/>
        <textField/>
      </textFields>
    </textPr>
  </connection>
  <connection id="50" name="Tabela de tubos2" type="6" refreshedVersion="5" background="1" saveData="1">
    <textPr sourceFile="\\Srvarq1-trf1\secad\DIVOB\PROJETOS\0- PROJETOS VIGENTES\ARQUITETURA E COMPLEMENTARES\ESCRITÓRIO DA OBRA\Tabelas para montar orçamento\Tabela de tubos.txt" decimal="," thousands=".">
      <textFields count="2">
        <textField/>
        <textField/>
      </textFields>
    </textPr>
  </connection>
  <connection id="51" name="Tabela de tubos4" type="6" refreshedVersion="5" background="1" saveData="1">
    <textPr sourceFile="\\Srvarq1-trf1\secad\DIVOB\PROJETOS\0- PROJETOS VIGENTES\ARQUITETURA E COMPLEMENTARES\ESCRITÓRIO DA OBRA\Tabelas para montar orçamento\Tabela de tubos.txt" decimal="," thousands=".">
      <textFields count="2">
        <textField/>
        <textField/>
      </textFields>
    </textPr>
  </connection>
  <connection id="52" name="Tabela de tubos41" type="6" refreshedVersion="5" background="1" saveData="1">
    <textPr sourceFile="\\Srvarq1-trf1\secad\DIVOB\PROJETOS\0- PROJETOS VIGENTES\ARQUITETURA E COMPLEMENTARES\ESCRITÓRIO DA OBRA\Tabelas para montar orçamento\Tabela de tubos.txt" decimal="," thousands=".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<sst xmlns="http://schemas.openxmlformats.org/spreadsheetml/2006/main" count="1974" uniqueCount="513">
  <si>
    <t>VIDRO COMUM, INCOLOR, E=4MM, PARA INSTALAÇÃO EM DIVISÓRIAS, INCLUSIVE JOGO DE BATENTES, LEITOS E BAGUETES</t>
  </si>
  <si>
    <t>TUBO, PVC, SOLDÁVEL, INSTALADO EM RAMAL OU SUB-RAMAL DE ÁGUA FORNECIMENTO E INSTALAÇÃO</t>
  </si>
  <si>
    <t>TUBO PVC, SERIE NORMAL, ESGOTO PREDIAL, FORNECIDO E INSTALADO EM RAMAL DE DESCARGA OU RAMA DE ESGOTO SANITÁRIO</t>
  </si>
  <si>
    <t>PORTA DE DIVISÓRIA 80CM COMPOSTA DE PAINEL NA COR AREIA COM PERFIS NA COR PRETA, MAÇANETA TIPO ALAVANCA EM METAL CROMADO NO PADRÃO NAVAL</t>
  </si>
  <si>
    <t>PISO ELEVADO EM AÇO COM CONCRETO CELULAR, REVESTIDO COM FÓRMICA LISA, COM LONGARINAS, FORNECIMENTO E INSTALAÇÃO</t>
  </si>
  <si>
    <t>DIVISÓRIA PAINEL/PAINEL/PAINEL, NA COR AREIA COM PERFIS NA COR PRETA PADRÃO NAVAL</t>
  </si>
  <si>
    <t>ITEM</t>
  </si>
  <si>
    <t>DESCRIÇÃO</t>
  </si>
  <si>
    <t>UNID.</t>
  </si>
  <si>
    <t>QUANT.</t>
  </si>
  <si>
    <t>REF. PREÇO</t>
  </si>
  <si>
    <t>ESQUADRIAS</t>
  </si>
  <si>
    <t>JANELA BASCULANTE EM CHAPA DOBRADA DE AÇO 60X60CM</t>
  </si>
  <si>
    <t>m²</t>
  </si>
  <si>
    <t>un.</t>
  </si>
  <si>
    <t>INSTALAÇÕES HIDRÁULICAS E SANITÁRIAS</t>
  </si>
  <si>
    <t>ESGOTO</t>
  </si>
  <si>
    <t>ÁGUA FRIA</t>
  </si>
  <si>
    <t>CONEXÕES</t>
  </si>
  <si>
    <t>BANCADAS</t>
  </si>
  <si>
    <t>BANCADA DE MÁRMORE SINTÉTICO 120X60CM, COM CUBA INTEGRADA, INCLUSO SIFÃO TIPO GARRAFA EM PVC, VÁLVULA EM PLÁSTICO CROMADO TIPO AMERICANA E TORNEIRA CROMADA LONGA DE PAREDE, PADRÃO POPULAR - FORNECIMENTO E INSTALAÇÃO</t>
  </si>
  <si>
    <t>REGISTRO DE GAVET COM CANOLA Ø 25MM - FORNECIMENTO E INSTALAÇÃO</t>
  </si>
  <si>
    <t>TUBOS</t>
  </si>
  <si>
    <t>m</t>
  </si>
  <si>
    <t>1,20X1,05=
1,26m²</t>
  </si>
  <si>
    <t>60x60=
0,36m²</t>
  </si>
  <si>
    <t>0,80x2,00</t>
  </si>
  <si>
    <t>0,60x2,10</t>
  </si>
  <si>
    <t>0,80X2,10</t>
  </si>
  <si>
    <t>PISOS</t>
  </si>
  <si>
    <t>ø20 mm</t>
  </si>
  <si>
    <t>ø25 mm</t>
  </si>
  <si>
    <t>ø40 mm</t>
  </si>
  <si>
    <t>ø50 mm</t>
  </si>
  <si>
    <t>ø100 mm</t>
  </si>
  <si>
    <t>PAREDES</t>
  </si>
  <si>
    <t>LUVA DE REDUÇÃO DE ESGOTO PREDIAL FORNECIMENTO E INSTALAÇÃO</t>
  </si>
  <si>
    <t>100 mmø-40 mmø</t>
  </si>
  <si>
    <t>100 mmø-50 mmø</t>
  </si>
  <si>
    <t>JOELHO 90 GRAUS, PVC, SERIE NORMAL, ESGOTO PREDIAL, DN 100 MM, JUNTA ELÁSTICA, FORNECIDO E INSTALADO EM RAMAL DE DESCARGA OU RAMAL DE ESGOTO</t>
  </si>
  <si>
    <t>100 mmø-100 mmø</t>
  </si>
  <si>
    <t>40 mmø-40 mmø</t>
  </si>
  <si>
    <t>50 mmø-50 mmø</t>
  </si>
  <si>
    <t>CURVA CURTA 90 GRAUS, PVC, SERIE NORMAL, ESGOTO PREDIAL, DN 40 MM</t>
  </si>
  <si>
    <t>CURVA LONGA 90 GRAUS, PVC, SERIE NORMAL, ESGOTO PREDIAL, DN 100 MM, JUNTA ELÁSTICA, FORNECIDO E INSTALADO EM RAMAL DE DESCARGA OU RAMAL DE ESGOTO SANITÁRIO</t>
  </si>
  <si>
    <t>TE, PVC, SERIE NORMAL, ESGOTO PREDIAL, DN 40 X 40 MM, JUNTA SOLDÁVEL, FORNECIDO E INSTALADO EM RAMAL DE DESCARGA OU RAMAL DE ESGOTO SANITÁRIO</t>
  </si>
  <si>
    <t>40 mmø-40 mmø-40 mmø</t>
  </si>
  <si>
    <t>100 mmø-100 mmø-100 mmø</t>
  </si>
  <si>
    <t>LOUÇAS, METAIS E ACESSÓRIOS</t>
  </si>
  <si>
    <t>ALVENARIA DE VEDAÇÃO DE BLOCOS CERÂMICOS FURADOS NA HORIZONTAL DE 9X19X19CM (ESPESSURA 9CM) DE PAREDES COM ÁREA LÍQUIDA MAIOR OU IGUAL A 6M² COM VÃOS E ARGAMASSA DE ASSENTAMENTO COM PREPARO MANUAL</t>
  </si>
  <si>
    <t>ALVENARIA EM TIJOLO CERAMICO FURADO 9X19X19CM, 1 VEZ ESPESSURA 19 CM ASSENTADO EM ARGAMASSA TRACO 1P4 CIMENTO E AREIA MEDIA NAO PENEIRADA, PREPARO MANUAL, JUNTA1 CM</t>
  </si>
  <si>
    <t>REVESTIMENTO CERÂMICO PARA PISO COM PLACAS TIPO GRÊS DE DIMENSÕES 35X35 CM APLICADA EM AMBIENTES DE ÁREA ENTRE 5 M2 E 10 M2 SOBRE CONTRAPISO EM ARGAMASSA TRAÇO 1P4 CIMENTO E AREIA, PREPARO MANUAL, APLICADO EM ÁREAS SECAS MENORES QUE 10M2 SOBRE LAJE, NÃO ADERIDO, ESPESSURA 6CM ACABAMENTO REFORÇADO</t>
  </si>
  <si>
    <t>VASO SANITÁRIO SIFONADO COM CAIXA ACOPLADA LOUÇA BRANCA INCLUSO ENGATE FLEXÍVEL EM PLÁSTICO BRANCO, 1/2"" X 40CM - FORNECIMENTO E INSTALAÇÃO</t>
  </si>
  <si>
    <t>LAVATÓRIO LOUÇA BRANCA SUSPENSO, 29,5 X 39CM, C SIFÃO GARRAFA EM PVC, VÁLVULA E ENGATE FLEXÍVEL 30CM EM PLÁSTICO E TORNEIRA CROMADA DE MESA, FORNECIMENTO E INSTALAÇÃO</t>
  </si>
  <si>
    <t>CAIXA SIFONADA, PVC, DN 150 X 185 X 75 MM, JUNTA ELÁSTICA, FORNECIDA E INSTALADA EM RAMAL DE DESCARGA OU EM RAMAL DE ESGOTO SANITÁRIO</t>
  </si>
  <si>
    <t>CRUZETA PVC 20X20X20X20 PARA ÁGUA FORNECIMENTO E INSTALAÇÃO</t>
  </si>
  <si>
    <t>20 mmø-20 mmø-20 mmø-20 mmø</t>
  </si>
  <si>
    <t>JOELHO 90 GRAUS, PVC, SOLDÁVEL, DN 25MM, INSTALADO EM RAMAL OU SUB-RAMAL DE ÁGUA FORNECIMENTO E INSTALAÇÃO</t>
  </si>
  <si>
    <t>25 mmø-25 mmø</t>
  </si>
  <si>
    <t>JOELHO 90 GRAUS, PVC, SOLDÁVEL, DN 20MM, INSTALADO EM RAMAL OU SUB-RAMAL DE ÁGUA FORNECIMENTO E INSTALAÇÃO</t>
  </si>
  <si>
    <t>20 mmø-20 mmø</t>
  </si>
  <si>
    <t>TE, PVC, SOLDÁVEL, DN 20MM, INSTALADO EM RAMAL OU SUB-RAMAL DE ÁGUA FORNECIMENTO E INSTALAÇÃO</t>
  </si>
  <si>
    <t>20 mmø-20 mmø-20 mmø</t>
  </si>
  <si>
    <t>CURVA CURTA 90 GRAUS, PVC, SERIE NORMAL, ESGOTO PREDIAL, DN 50 MM</t>
  </si>
  <si>
    <t>TE, PVC, SERIE NORMAL, ESGOTO PREDIAL, DN 100 X 100 MM, JUNTA SOLDÁVEL, FORNECIDO E INSTALADO EM RAMAL DE DESCARGA OU RAMAL DE ESGOTO SANITÁRIO</t>
  </si>
  <si>
    <t>KIT DE PORTA DE MADEIRA PARA PINTURA, SEMI-OCA, 60X210CM, ESP 3,5CM, C DOBRSDIÇAS, BATENTE, FECHADURA FORNECIMENTO E INSTALAÇÃO</t>
  </si>
  <si>
    <t>KIT DE PORTA DE MADEIRA PARA PINTURA, SEMI-OCA, 80X210CM, ESP 3,5CM, C DOBRADIÇAS, BATENTE, FECHADURA, FORNECIMENTO E INSTALAÇÃO</t>
  </si>
  <si>
    <t>R$</t>
  </si>
  <si>
    <t>INSTALAÇÕES ELÉTRICAS E TELEMÁTICA</t>
  </si>
  <si>
    <t>DISJUNTOR TERMOMAGNETICO MONOPOLAR PADRAO NEMA (AMERICANO) 10 A 30A 240V, FORNECIMENTO E INSTALACAO</t>
  </si>
  <si>
    <t>DISJUNTOR TERMOMAGNETICO TRIPOLAR PADRAO NEMA (AMERICANO) 60 A 100A 240V, FORNECIMENTO E INSTALACAO</t>
  </si>
  <si>
    <t>Ø1,5mm²</t>
  </si>
  <si>
    <t>Ø2,5mm²</t>
  </si>
  <si>
    <t>Ø4mm²</t>
  </si>
  <si>
    <t>FORNECIMENTO E INSTALAÇÃO DE ELETROCALHA METÁLICA 100X50 PERFURADA COM TAMPA, ACESSÓRIOS DE FIXAÇÃO E ACESSÓRIOS DE ACOPLAMENTO TAIS COMO, CURVAS, TÊS, SAÍDAS DE CALHAS, DERIVAÇÕES E DEMAIS ACESSÓRIOS NECESSÁRIOS À IMPLANTAÇÃO, FIXAÇÃO E ACABAMENTO</t>
  </si>
  <si>
    <t>CAIXA DE TOMADAS PARA PISO ELEVADO COM 4 TOMADAS ELÉTRICAS E 4 POSIÇÕES PARA CONECTOR RJ45 FEMEA COM TAMPA PARA CAIXA DE PISO ELEVADO 6" REDONDA, PASSA CABOS VEDANTE PARA PISO ELEVADO</t>
  </si>
  <si>
    <t>ELETRODUTO DE PVC RIGIDO ROSCAVEL INCL CONEXOES, FORNECIMENTO E INSTALAÇÃO</t>
  </si>
  <si>
    <t>50x50cm</t>
  </si>
  <si>
    <t>100x50cm</t>
  </si>
  <si>
    <t>FORNECIMENTO E INSTALAÇÃO DE ELETROCALHA METÁLICA 50X50 PERFURADA COM TAMPA, ACESSÓRIOS DE FIXAÇÃO E ACESSÓRIOS DE ACOPLAMENTO TAIS COMO CURVAS, TÊS, SAÍDAS DE CALHAS, DERIVAÇÕES E DEMAIS ACESSÓRIOS NECESSA´RIOS À IMPLANTAÇÃO, FIXAÇÃO E ACABAMENTO</t>
  </si>
  <si>
    <t>CAIXA DE PASSAGEM PVC 4X4" - FORNECIMENTO E INSTALACAO</t>
  </si>
  <si>
    <t>CAIXA DE PASSAGEM PVC 4X2" - FORNECIMENTO E INSTALACAO</t>
  </si>
  <si>
    <t>4x4"</t>
  </si>
  <si>
    <t>4x2"</t>
  </si>
  <si>
    <t>TOMADA 3P+T 30A/440V SEM PLACA - FORNECIMENTO E INSTALACAO</t>
  </si>
  <si>
    <t>TOMADA DE EMBUTIR 2P+T 10A/250V C/ PLACA - FORNECIMENTO E INSTALACAO</t>
  </si>
  <si>
    <t>TOMADA DE EMBUTIR 2P+T 20A/250V C/ PLACA - FORNECIMENTO E INSTALACAO</t>
  </si>
  <si>
    <t>2P+T 10A</t>
  </si>
  <si>
    <t>2P+T 20A</t>
  </si>
  <si>
    <t>3P+T 30A</t>
  </si>
  <si>
    <t>DIMENSÕES/
CARACT.</t>
  </si>
  <si>
    <t>150X185X75mm</t>
  </si>
  <si>
    <t>29,5X39cm</t>
  </si>
  <si>
    <t>1/2"X40cm</t>
  </si>
  <si>
    <t>LUMINÁRIA TIPO CALHA, DE SOBREPOR, COM REATOR DE PARTIDA RÁPIDA E LÂMPADA FLUORESCENTE 2X40W,COMPLETA, FORNECIMENTO E INSTALAÇÃO</t>
  </si>
  <si>
    <t>LUMINARIA GLOBO VIDRO LEITOSO/PLAFONIER/BOCAL/LAMPADA FLUORESCENTE 20W</t>
  </si>
  <si>
    <t>2X40W</t>
  </si>
  <si>
    <t>20W</t>
  </si>
  <si>
    <t>INTERRUPTOR SIMPLES DE EMBUTIR 10A/250V 1 TECLA, ESPELHO PLASTICO 4X2" - FORNECIMENTO E INSTALACAO</t>
  </si>
  <si>
    <t>INTERRUPTOR PARALELO DE EMBUTIR 10A/250V 1 TECLA,ESPELHO PLASTICO 4X2" - FORNECIMENTO E INSTALACAO</t>
  </si>
  <si>
    <t>4x2" SIMPLES</t>
  </si>
  <si>
    <t>4x2" PARALELO</t>
  </si>
  <si>
    <t>4 T.ELETR.
+ 4 RJ45</t>
  </si>
  <si>
    <t>ø16 mm</t>
  </si>
  <si>
    <t>ø27 mm</t>
  </si>
  <si>
    <t>ø35 mm</t>
  </si>
  <si>
    <t>ø53 mm</t>
  </si>
  <si>
    <t>FORNECIMENTO DE APARELHO DE AR CONDICIONADO SPLIT HI WALL 12.000BTU/h, INCLUINDO CONTROLE REMOTO E DEMAIS ACESSÓRIOS</t>
  </si>
  <si>
    <t>INSTALAÇÃO DE APARELHO DE AR CONDICIONADO TIPO SPLIT HI WALL, INCLUSIVE FIXAÇÃO DO CONJUNTO DE UNIDADE EVAPORADORA E CONDENSADORA, EVENTUAL CARGA ADICIONAL DE GÁS; REALIZAÇÃO DE CONEXÕES E DEMAIS SERVIÇOS NECESS´RIOS AO PERFEITO FUNCIONAMENTO DO CONJUNTO</t>
  </si>
  <si>
    <t>REDE FRIGORÍGENA COM TUBULAÇÃO DE COBRE FLEXÍVEL, PARA INSTALAÇÃO DE SPLITS DE 9000 A 18.000 BTU/h, INCLUSIVE CONEXÕES, ISOLAMENTO COM ESPUMA ELASTOMÉRICA; CABO FLEXÍVEL TIPO pp, FITAS, PRESILHAS E DEMAIS ACESSÓRIOS DE FIXAÇÃO</t>
  </si>
  <si>
    <t>REDE DE DRENO EM PVC SOLDÁVEL, INCLUSIVE CONEXÕES EM PVC SOLDÁVEL, ABRAÇADEIRAS, TIRANTES E DEMAIS ACESSÓRIOS DE FIXAÇÃO</t>
  </si>
  <si>
    <t>PREÇO UNIT. (COM BDI)
(R$)</t>
  </si>
  <si>
    <t>FIXAÇÃO DE TUBOS HORIZONTAIS DE PVC, DIÂMETROS MENORES OU IGUAIS A 40MM COM ABRAÇADEIRAS METÁLICA RÍGIDA TIPO D 1/2" EM PERFILADO, EM LAJE.</t>
  </si>
  <si>
    <t>1/2"</t>
  </si>
  <si>
    <t>INSTALAÇÕES MECÂNICAS</t>
  </si>
  <si>
    <t>20 A 30A</t>
  </si>
  <si>
    <t>100A</t>
  </si>
  <si>
    <t>12.000BTU</t>
  </si>
  <si>
    <t>ATA 04/2015 TRT14
ITEM 1</t>
  </si>
  <si>
    <t>ATA 47/2015 TRT6
ITEM 05</t>
  </si>
  <si>
    <t>ATA MPT 56/2014
ITEM 2</t>
  </si>
  <si>
    <t>ATA MPT 56/2014
ITEM 19</t>
  </si>
  <si>
    <t>ATA MPT 56/2014
ITEM 12</t>
  </si>
  <si>
    <t>ATA MPT 56/2014
ITEM 15</t>
  </si>
  <si>
    <t>ATA 07/2014 - MPT23
ITEM 02.01</t>
  </si>
  <si>
    <t>ATA 07/2014 - MPT23
ITEM 02.02</t>
  </si>
  <si>
    <t>ATA 07/2014 - MPT23
ITEM 01.02</t>
  </si>
  <si>
    <t>ATA 07/2014 - MPT23
ITEM 01.01</t>
  </si>
  <si>
    <t>ATA 47/20415-TRT6
ITEM 01</t>
  </si>
  <si>
    <t>ÁREA CONSTRUÍDA</t>
  </si>
  <si>
    <t>R$/m²</t>
  </si>
  <si>
    <t>(TOT)</t>
  </si>
  <si>
    <t>(A)</t>
  </si>
  <si>
    <t>= TOT / A</t>
  </si>
  <si>
    <t>1.1</t>
  </si>
  <si>
    <t>2.1</t>
  </si>
  <si>
    <t>2.2</t>
  </si>
  <si>
    <t>3.1</t>
  </si>
  <si>
    <t>3.5</t>
  </si>
  <si>
    <t>4.1</t>
  </si>
  <si>
    <t>4.2</t>
  </si>
  <si>
    <t>4.3</t>
  </si>
  <si>
    <t>4.4</t>
  </si>
  <si>
    <t>5.1</t>
  </si>
  <si>
    <t>5.2</t>
  </si>
  <si>
    <t>5.3</t>
  </si>
  <si>
    <t>6.1</t>
  </si>
  <si>
    <t>6.2</t>
  </si>
  <si>
    <t>7.1</t>
  </si>
  <si>
    <t>7.2</t>
  </si>
  <si>
    <t>7.3</t>
  </si>
  <si>
    <t>7.4</t>
  </si>
  <si>
    <t>8.1</t>
  </si>
  <si>
    <t>120x60cm</t>
  </si>
  <si>
    <t>Ø 25mm</t>
  </si>
  <si>
    <t>INSTALAÇÃO</t>
  </si>
  <si>
    <t>20X20X10cm</t>
  </si>
  <si>
    <t>35X35cm</t>
  </si>
  <si>
    <t>PREÇO TOTAL</t>
  </si>
  <si>
    <t>(P.UNIT.TOT.)</t>
  </si>
  <si>
    <t>PREÇO TOTAL UNITÁRIO (PREÇO TOTAL POR METRO QUADRADO)</t>
  </si>
  <si>
    <t>Data:</t>
  </si>
  <si>
    <t>Local:</t>
  </si>
  <si>
    <t>Canteiro de obras da nova sede do TRF1 - Brasília (DF)</t>
  </si>
  <si>
    <t>BDI
(%)</t>
  </si>
  <si>
    <t>PREÇO
TOTAL
(R$)</t>
  </si>
  <si>
    <t>[1] ACÓRDÃO Nº 2622/2013 – TCU – Plenário.</t>
  </si>
  <si>
    <t>1.1.1.   A fórmula para obtenção da taxa de BDI utilizada neste documento é a especificada a seguir, considerando-se que:
AC é a taxa de rateio da administração central,
R corresponde aos riscos e imprevistos, 
G é a taxa que representa o ônus das garantias exigidas em edital,
DF é a taxa representativa das despesas financeiras,
L corresponde ao lucro bruto e
I é a taxa representativa dos impostos (PIS, COFINS, ISSQN e CPRB)[1].</t>
  </si>
  <si>
    <t>Faixas de BDI adotadas como parâmetro (Acórdão/TCU-Plenário 2622/2013):</t>
  </si>
  <si>
    <t>Ref. SINAPI:</t>
  </si>
  <si>
    <t>ATÉ 20m</t>
  </si>
  <si>
    <t>CABEAMENTO ESTRUTURADO CAT. 6, COM CABO UTP 4 PARES CAT. 6 DE ATÉ 20M, CONTEMPLANDO LANÇAMENTO DE CABOS, CONECTOR RJ45 FÊMEA CAT. 6, CONECTORIZAÇÃO NA ÁREA DE TRABALHO E NO PATCH PANEL LOCALIZADO NO RACK DE TELECOMUNICAÇÕES, IDENTIFICAÇÃO, TESTES E CERTIFICAÇÃO - FORNECIMENTO E INSTALAÇÃO</t>
  </si>
  <si>
    <t>ATA 07/2014 - MPT23
ITEM 03.01</t>
  </si>
  <si>
    <t>CUSTO UNIT.
(SEM BDI) (R$)</t>
  </si>
  <si>
    <t>BDI adotado para este orçamento =</t>
  </si>
  <si>
    <t>REVESTIMENTOS</t>
  </si>
  <si>
    <t>9.1</t>
  </si>
  <si>
    <t>MASSA ÚNICA, PARA RECEBIMENTO DE PINTURA, EM ARGAMASSA TRAÇO 1:2:8, PREPARO MANUAL, APLICADA MANUALMENTE EM FACES INTERNAS DE PAREDES DE AMBIENTES COM ÁREA MENOR QUE 10M2, ESPESSURA DE 20MM, COM EXECUÇÃO DE TALISCAS</t>
  </si>
  <si>
    <t>9.2</t>
  </si>
  <si>
    <t>9.3</t>
  </si>
  <si>
    <t>9.4</t>
  </si>
  <si>
    <t>APLICAÇÃO DE FUNDO SELADOR ACRÍLICO EM PAREDES, UMA DEMÃO</t>
  </si>
  <si>
    <t>APLICAÇÃO MANUAL DE PINTURA COM TINTA LÁTEX ACRÍLICA EM PAREDES, DUAS DEMÃOES</t>
  </si>
  <si>
    <t>PINTURA ESMALTE ACETINADO PARA MADEIRA, DUAS DEMAOS, SOBRE FUNDO NIVELADOR BRANCO</t>
  </si>
  <si>
    <t>ETAPA 1</t>
  </si>
  <si>
    <t>ETAPA 4</t>
  </si>
  <si>
    <t>ETAPA 3</t>
  </si>
  <si>
    <t>ETAPA 2</t>
  </si>
  <si>
    <t>SINAPI 73616</t>
  </si>
  <si>
    <t>DEMOLIÇÃO DE CONCRETO SIMPLES (PARA REGULARIZAÇÃO DA LAJE DE PISO)</t>
  </si>
  <si>
    <t>m³</t>
  </si>
  <si>
    <t>SINAPI 90443</t>
  </si>
  <si>
    <t>RASGO EM ALVENARIA PARA RAMAIS/DISTRIBUIÇÃO COM DIÂMETROS MENORES OU IGUAIS A 40 MM</t>
  </si>
  <si>
    <t>SINAPI 90441</t>
  </si>
  <si>
    <t>FURO EM CONCRETO PARA DIÂMETROS MAIORES QUE 75 MM</t>
  </si>
  <si>
    <t>SINAPI 9537</t>
  </si>
  <si>
    <t>LIMPEZA FINAL DA OBRA</t>
  </si>
  <si>
    <t xml:space="preserve">   SINAPI 87247
+ SINAPI 87697</t>
  </si>
  <si>
    <t>SINAPI 73935-002</t>
  </si>
  <si>
    <t>SINAPI 87520</t>
  </si>
  <si>
    <t>SINAPI 6104</t>
  </si>
  <si>
    <t>SINAPI 91312</t>
  </si>
  <si>
    <t>SINAPI 91314</t>
  </si>
  <si>
    <t>SINAPI 74131/004</t>
  </si>
  <si>
    <t>SINAPI 74130/001</t>
  </si>
  <si>
    <t xml:space="preserve">SINAPI 74130/005 </t>
  </si>
  <si>
    <t xml:space="preserve">SINAPI 73860/007 </t>
  </si>
  <si>
    <t xml:space="preserve">SINAPI 73860/008 </t>
  </si>
  <si>
    <t>SINAPI 73860/009</t>
  </si>
  <si>
    <t>SINAPI 83386</t>
  </si>
  <si>
    <t>SINAPI 83387</t>
  </si>
  <si>
    <t>SINAPI 72339</t>
  </si>
  <si>
    <t>SINAPI 83540</t>
  </si>
  <si>
    <t>SINAPI 83566</t>
  </si>
  <si>
    <t>SINAPI 73953/006</t>
  </si>
  <si>
    <t>SINAPI 74041/001</t>
  </si>
  <si>
    <t xml:space="preserve"> SINAPI 72331+72335</t>
  </si>
  <si>
    <t>SINAPI 72334+72335</t>
  </si>
  <si>
    <t>SINAPI 73614</t>
  </si>
  <si>
    <t>SINAPI 74252/001</t>
  </si>
  <si>
    <t>SINAPI 83407</t>
  </si>
  <si>
    <t>SINAPI 55866</t>
  </si>
  <si>
    <t>SINAPI 91170</t>
  </si>
  <si>
    <t>SINAPI 89355</t>
  </si>
  <si>
    <t>SINAPI 89356</t>
  </si>
  <si>
    <t>SINAPI 89358</t>
  </si>
  <si>
    <t>SINAPI 89362</t>
  </si>
  <si>
    <t>SINAPI 89393</t>
  </si>
  <si>
    <t>SINAPI  89393</t>
  </si>
  <si>
    <t>SINAPI 89711</t>
  </si>
  <si>
    <t>SINAPI 89712</t>
  </si>
  <si>
    <t>SINAPI 89714</t>
  </si>
  <si>
    <t>SINAPI 89779</t>
  </si>
  <si>
    <t>SINAP 89779</t>
  </si>
  <si>
    <t>SINAPI 89744</t>
  </si>
  <si>
    <t>SINAPI 89728</t>
  </si>
  <si>
    <t>SINAPI 89733</t>
  </si>
  <si>
    <t>SINAPI 89750</t>
  </si>
  <si>
    <t>SINAPI 89782</t>
  </si>
  <si>
    <t>SINAPI 89796</t>
  </si>
  <si>
    <t>SINAPI 73663</t>
  </si>
  <si>
    <t>SINAPI 86931</t>
  </si>
  <si>
    <t>SINAPI 86942</t>
  </si>
  <si>
    <t xml:space="preserve">SINAPI 89708 </t>
  </si>
  <si>
    <t>SINAPI 86933</t>
  </si>
  <si>
    <t xml:space="preserve">SINAPI 87530 </t>
  </si>
  <si>
    <t>SINAPI 88485</t>
  </si>
  <si>
    <t>SINAPI 88489</t>
  </si>
  <si>
    <t>SINAPI 74065/002</t>
  </si>
  <si>
    <t>LIMPEZA INICIAL DA OBRA</t>
  </si>
  <si>
    <t>SINAPI 72897</t>
  </si>
  <si>
    <t>CARGA MANUAL DE ENTULHO EM CAMINHÃO BASCULANTE 6 M3</t>
  </si>
  <si>
    <t>REMOÇÃO MANUAL DE ENTULHO</t>
  </si>
  <si>
    <t>SINAPI 85387</t>
  </si>
  <si>
    <t>LASTRO DE BRITA</t>
  </si>
  <si>
    <t>SINAPI 74164/004</t>
  </si>
  <si>
    <t>21,22 m², H=0,17</t>
  </si>
  <si>
    <t xml:space="preserve"> </t>
  </si>
  <si>
    <t>H</t>
  </si>
  <si>
    <t>SINAPI 4083</t>
  </si>
  <si>
    <t>TECNICO DE SEGURANCA DO TRAB. (1x)</t>
  </si>
  <si>
    <t>PESSOAL DE APOIO</t>
  </si>
  <si>
    <t>SINAPI 10508</t>
  </si>
  <si>
    <t>SINAPI 248</t>
  </si>
  <si>
    <t>MATERIAIS E CONSUMO</t>
  </si>
  <si>
    <t xml:space="preserve">  2.  1</t>
  </si>
  <si>
    <t>CREA (ART)</t>
  </si>
  <si>
    <t>UN</t>
  </si>
  <si>
    <t>CREA-DF</t>
  </si>
  <si>
    <t>MÊS</t>
  </si>
  <si>
    <t>COMPOSIÇÃO</t>
  </si>
  <si>
    <t xml:space="preserve">  2.  3</t>
  </si>
  <si>
    <t xml:space="preserve">  2.  4</t>
  </si>
  <si>
    <t xml:space="preserve">  2.  5</t>
  </si>
  <si>
    <t xml:space="preserve">  2.  6</t>
  </si>
  <si>
    <t>ALIMENTAÇÃO PESSOAL ADMINISTRATIVO E APOIO</t>
  </si>
  <si>
    <t>EXAMES MEDICOS PESSOAL DE APOIO E ADMINISTRATIVO</t>
  </si>
  <si>
    <t>TRANSPORTE DE PESSOAL ADMINISTRATIVO E APOIO</t>
  </si>
  <si>
    <t>SEGUROS DE PESSOAL ADMINISTRATIVO E APOIO</t>
  </si>
  <si>
    <t>ENCARREGADO GERAL (1X)</t>
  </si>
  <si>
    <t>PESSOAL DE ADMNINISTRACAO TÉCNICA</t>
  </si>
  <si>
    <t xml:space="preserve">Item           </t>
  </si>
  <si>
    <t>Referência</t>
  </si>
  <si>
    <t xml:space="preserve">Descricao      </t>
  </si>
  <si>
    <t xml:space="preserve">Unidade        </t>
  </si>
  <si>
    <t xml:space="preserve">Quantidade     </t>
  </si>
  <si>
    <t xml:space="preserve">Preço Unitário   </t>
  </si>
  <si>
    <t>Custo Unitário</t>
  </si>
  <si>
    <t>h</t>
  </si>
  <si>
    <t>mês</t>
  </si>
  <si>
    <t>12895 SINAPI</t>
  </si>
  <si>
    <t>Capacete (SINAPI)</t>
  </si>
  <si>
    <t>12893 SINAPI</t>
  </si>
  <si>
    <t>Botas de couro cano curto (par) (SINAPI)</t>
  </si>
  <si>
    <t>12892 SINAPI</t>
  </si>
  <si>
    <t>Luvas de raspa cano curto (par) (SINAPI)</t>
  </si>
  <si>
    <t>Óculos contra impacto</t>
  </si>
  <si>
    <t>Respirador descartável sem válvula</t>
  </si>
  <si>
    <t>Protetor auricular</t>
  </si>
  <si>
    <t>37370 SINAPI</t>
  </si>
  <si>
    <t>ALIMENTAÇÃO PESSOAL ADMINISTRATIVO</t>
  </si>
  <si>
    <t>37372 SINAPI</t>
  </si>
  <si>
    <t>Exame clínico</t>
  </si>
  <si>
    <t>37371 SINAPI</t>
  </si>
  <si>
    <t>37373 SINAPI</t>
  </si>
  <si>
    <t>ADMINISTRAÇÃO LOCAL</t>
  </si>
  <si>
    <t>PESSOAL TÉCNICO DE APOIO</t>
  </si>
  <si>
    <t>SERVIÇOS COMPLEMENTARES</t>
  </si>
  <si>
    <t>SINAPI 87875</t>
  </si>
  <si>
    <t>CONTRAPISO EM ARGAMASSA TRAÇO 1:4 (CIMENTO E AREIA), PREPARO MECÂNICO COM BETONEIRA 400L, APLICADO EM ÁREAS SECAS SOBRE LAJE, ADERIDO, ESPESSURA 3 CM, ACABAMENTO NÃO REFORÇADO</t>
  </si>
  <si>
    <t>SINAPI 87630</t>
  </si>
  <si>
    <t>1.3</t>
  </si>
  <si>
    <t>1.5</t>
  </si>
  <si>
    <t xml:space="preserve">  2.  2</t>
  </si>
  <si>
    <t>4.5</t>
  </si>
  <si>
    <t>4.6</t>
  </si>
  <si>
    <t>6.3</t>
  </si>
  <si>
    <t>6.4</t>
  </si>
  <si>
    <t>6.5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</si>
  <si>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</si>
  <si>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</si>
  <si>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</si>
  <si>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</si>
  <si>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</si>
  <si>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</si>
  <si>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</si>
  <si>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</si>
  <si>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</si>
  <si>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</si>
  <si>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</si>
  <si>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</si>
  <si>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</si>
  <si>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</si>
  <si>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</si>
  <si>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</si>
  <si>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</si>
  <si>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</si>
  <si>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</si>
  <si>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</si>
  <si>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</si>
  <si>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</si>
  <si>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</si>
  <si>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</si>
  <si>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</si>
  <si>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</si>
  <si>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</si>
  <si>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</si>
  <si>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</si>
  <si>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</si>
  <si>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</si>
  <si>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</si>
  <si>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</si>
  <si>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</si>
  <si>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</si>
  <si>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</si>
  <si>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10.1</t>
  </si>
  <si>
    <t>11.1</t>
  </si>
  <si>
    <t>12.1</t>
  </si>
  <si>
    <t>12.2</t>
  </si>
  <si>
    <t>12.3</t>
  </si>
  <si>
    <t>12.4</t>
  </si>
  <si>
    <t>12.5</t>
  </si>
  <si>
    <t>10.2</t>
  </si>
  <si>
    <t>10.3</t>
  </si>
  <si>
    <t>10.4</t>
  </si>
  <si>
    <t>13.1</t>
  </si>
  <si>
    <t>13.2</t>
  </si>
  <si>
    <t>13.3</t>
  </si>
  <si>
    <t>13.4</t>
  </si>
  <si>
    <t>13.5</t>
  </si>
  <si>
    <t>13.6</t>
  </si>
  <si>
    <t>CHAPISCO APLICADO TANTO EM PILARES E VIGAS DE CONCRETO COM EM ALVENARIAS DE PAREDES INTERNAS, COM ROLO PARA TEXTURA ACRÍLICA. ARGAMASSA TRAÇO 1:4 E EMULSÃO POLIMÉRICA (ADESIVO) COM PREPARO EM MISTURADOR 300 KG</t>
  </si>
  <si>
    <t>SINAPI 72881</t>
  </si>
  <si>
    <t>TRANSPORTE LOCAL COM CAMINHÃO BASCULANTE 6M³, RODOVIA PAVIMENTADA (P DISTÂNCIAS SUPERIORES A 4 KM)</t>
  </si>
  <si>
    <t>M³*KM</t>
  </si>
  <si>
    <t>und</t>
  </si>
  <si>
    <t>Vida útil (dias)</t>
  </si>
  <si>
    <t>CONJ</t>
  </si>
  <si>
    <t>EPI PESSOAL ADMINISTRAÇÃO LOCAL</t>
  </si>
  <si>
    <t>Totais</t>
  </si>
  <si>
    <r>
      <rPr>
        <b/>
        <sz val="11"/>
        <color theme="1"/>
        <rFont val="Calibri"/>
        <family val="2"/>
        <scheme val="minor"/>
      </rPr>
      <t xml:space="preserve">ATUALIZAÇÃO PROJETO - </t>
    </r>
    <r>
      <rPr>
        <b/>
        <i/>
        <sz val="11"/>
        <color theme="1"/>
        <rFont val="Calibri"/>
        <family val="2"/>
        <scheme val="minor"/>
      </rPr>
      <t>AS BUILT</t>
    </r>
  </si>
  <si>
    <t>UND</t>
  </si>
  <si>
    <t>Bota de segurança com biqueira de aço e colarinho (par) (SINAPI)</t>
  </si>
  <si>
    <t>36144 SINAPI</t>
  </si>
  <si>
    <t>36152 SINAPI</t>
  </si>
  <si>
    <t>Protetor auditivo tipo plug</t>
  </si>
  <si>
    <t>36143 SINAPI</t>
  </si>
  <si>
    <r>
      <t xml:space="preserve">PLANILHA DE PREÇOS ESTIMADOS - PROJETO </t>
    </r>
    <r>
      <rPr>
        <b/>
        <i/>
        <sz val="12"/>
        <rFont val="Calibri"/>
        <family val="2"/>
        <scheme val="minor"/>
      </rPr>
      <t>AS BUILT</t>
    </r>
  </si>
  <si>
    <t>Referência: Tabela do IAB - Instituto dos Arquitetos do Brasil</t>
  </si>
  <si>
    <t>PV=</t>
  </si>
  <si>
    <t>Sc*CUB*(fp*R)</t>
  </si>
  <si>
    <t>,onde:</t>
  </si>
  <si>
    <t>R=</t>
  </si>
  <si>
    <t>Sp/Sc</t>
  </si>
  <si>
    <t>Sp=</t>
  </si>
  <si>
    <t>Snr+(Sr*r)</t>
  </si>
  <si>
    <t>Preço de venda do projeto arquitetônico (R$) com Leis Sociais e BDI</t>
  </si>
  <si>
    <t>Sc=</t>
  </si>
  <si>
    <t>àrea construída (m²)</t>
  </si>
  <si>
    <t>CUB=</t>
  </si>
  <si>
    <t>Custo Unitário Básico de Edificações (CUB) do mês do orçamento, obtido junto ao Sinduscon DF (R$/m²)</t>
  </si>
  <si>
    <t>fp=</t>
  </si>
  <si>
    <t>fator percentual obtido na tabela em função da categoria da edificação e da área costruída, conforme item 8.1.3 do Manual</t>
  </si>
  <si>
    <t>Categoria da edificação, conforme item 7.1.3 do Manual</t>
  </si>
  <si>
    <t>III</t>
  </si>
  <si>
    <t>Redutor -1, resultante da fórmula: R= Sp/Sc (taxa unitária)</t>
  </si>
  <si>
    <t>Área de projeto (m²)</t>
  </si>
  <si>
    <t>Snr=</t>
  </si>
  <si>
    <t>Área construída não repetida (m²)</t>
  </si>
  <si>
    <t>Sr=</t>
  </si>
  <si>
    <t>Área construída repetida (m²)</t>
  </si>
  <si>
    <t>r=</t>
  </si>
  <si>
    <t>Redutor-2, para áreas repetidas em função da quantidade de repetições (%), conforme item 7.5.2 do Manual</t>
  </si>
  <si>
    <t>q=</t>
  </si>
  <si>
    <t>Quantidade de repetições da área construída repetida (Sr)</t>
  </si>
  <si>
    <t>Leis Sociais - item 6.7.5 do Manual</t>
  </si>
  <si>
    <t>BDI - item 6.7.5 do Manual</t>
  </si>
  <si>
    <t>Disciplina</t>
  </si>
  <si>
    <t>Nº de</t>
  </si>
  <si>
    <t>valor proporcional ao projeto de arquitetura</t>
  </si>
  <si>
    <r>
      <t>% relativo ao projeto</t>
    </r>
    <r>
      <rPr>
        <b/>
        <i/>
        <sz val="8"/>
        <rFont val="Calibri"/>
        <family val="2"/>
        <scheme val="minor"/>
      </rPr>
      <t xml:space="preserve"> as built </t>
    </r>
  </si>
  <si>
    <r>
      <t xml:space="preserve">VALOR DO PROJETO </t>
    </r>
    <r>
      <rPr>
        <b/>
        <i/>
        <sz val="8"/>
        <rFont val="Calibri"/>
        <family val="2"/>
        <scheme val="minor"/>
      </rPr>
      <t>AS BUILT</t>
    </r>
    <r>
      <rPr>
        <b/>
        <sz val="8"/>
        <rFont val="Calibri"/>
        <family val="2"/>
        <scheme val="minor"/>
      </rPr>
      <t xml:space="preserve"> (R$)</t>
    </r>
  </si>
  <si>
    <t>Projetos, Especificações e Orçamento (itens e quantit.)</t>
  </si>
  <si>
    <t>Pranchas</t>
  </si>
  <si>
    <t>fornecidas</t>
  </si>
  <si>
    <t>Arquitetura e Elementos de Urbanismo</t>
  </si>
  <si>
    <t>Arquitetura e Detalhes de Arquitetura</t>
  </si>
  <si>
    <t>Instalações Hidraulicas e Sanitárias</t>
  </si>
  <si>
    <t>Água Potável</t>
  </si>
  <si>
    <t>Esgoto Sanitário</t>
  </si>
  <si>
    <t>Instalações Elétricas e Eletrônicas</t>
  </si>
  <si>
    <r>
      <t>Instalações Elétricas</t>
    </r>
    <r>
      <rPr>
        <sz val="8"/>
        <color rgb="FFFF0000"/>
        <rFont val="Calibri"/>
        <family val="2"/>
        <scheme val="minor"/>
      </rPr>
      <t/>
    </r>
  </si>
  <si>
    <r>
      <t>Comunicação de Dados e Voz</t>
    </r>
    <r>
      <rPr>
        <sz val="8"/>
        <color rgb="FFFF0000"/>
        <rFont val="Calibri"/>
        <family val="2"/>
        <scheme val="minor"/>
      </rPr>
      <t/>
    </r>
  </si>
  <si>
    <t>Instalações Mecânicas e de Utilidades</t>
  </si>
  <si>
    <t>Ar Condicionado</t>
  </si>
  <si>
    <t>TOTAL COM LEIS SOCIAIS E BDI</t>
  </si>
  <si>
    <t>GUARDIÃO NOTURNO (1X)</t>
  </si>
  <si>
    <t>SERVENTE DE APOIO (1X)</t>
  </si>
  <si>
    <t>SINAPI 532</t>
  </si>
  <si>
    <t>12/2015 (Brasília-DF)</t>
  </si>
  <si>
    <t>CRONOGRAMA FÍSICO-FINANCEIRO</t>
  </si>
  <si>
    <t>%</t>
  </si>
  <si>
    <t>VALOR</t>
  </si>
  <si>
    <t>INSTALAÇÕES PROVISÓRIAS DO TRF1 NA OBRA</t>
  </si>
  <si>
    <t>Serviço:</t>
  </si>
  <si>
    <t>PLANILHA DE PREÇOS ESTIMADOS</t>
  </si>
  <si>
    <t>DISJUNTOR TERMOMAGNETICO MONOPOLAR PADRAO NEMA (AMERICANO) 35 A 50A 240V, FORNECIMENTO E INSTALACAO</t>
  </si>
  <si>
    <t>40 A</t>
  </si>
  <si>
    <t>SINAPI 74130/002</t>
  </si>
  <si>
    <t>SINAPI 84402</t>
  </si>
  <si>
    <t>HASTE COPERWELD 3/4" X 3,00M COM CONECTOR</t>
  </si>
  <si>
    <t>3/4"</t>
  </si>
  <si>
    <t>SINAPI 83484</t>
  </si>
  <si>
    <t>Ø6mm²</t>
  </si>
  <si>
    <t>SINAPI 83419</t>
  </si>
  <si>
    <t>Ø10mm²</t>
  </si>
  <si>
    <t>SINAPI 83420</t>
  </si>
  <si>
    <t>1.2</t>
  </si>
  <si>
    <t>1.4</t>
  </si>
  <si>
    <t>8.25</t>
  </si>
  <si>
    <t>8.26</t>
  </si>
  <si>
    <t>8.27</t>
  </si>
  <si>
    <t>8.28</t>
  </si>
  <si>
    <t>8.29</t>
  </si>
  <si>
    <t>QUADRO DE DISTRIBUICAO DE ENERGIA  EM CHAPA METALICA, PARA 3  DISJUNTORES TERMOMAGNETICOS MONOPOLARES, SEM BARRAMENTO, FORNECIMENTO E INSTALACAO</t>
  </si>
  <si>
    <t>SINAPI 83463</t>
  </si>
  <si>
    <t>QUADRO DE DISTRIBUICAO DE ENERGIA DE EMBUTIR, EM CHAPA METALICA, PARA 12 DISJUNTORES TERMOMAGNETICOS MONOPOLARES, COM BARRAMENTO TRIFASICO E NEUTRO, FORNECIMENTO E INSTALACAO</t>
  </si>
  <si>
    <t>P/12 disj. Mono  com barramento</t>
  </si>
  <si>
    <t>SINAPI 74131/001</t>
  </si>
  <si>
    <t>P/3 disj. mono Sem barramento</t>
  </si>
  <si>
    <t>DISJUNTOR TERMOMAGNETICO TRIPOLAR PADRAO NEMA (AMERICANO) 10 A 50A 240 V, FORNECIMENTO E INSTALACAO</t>
  </si>
  <si>
    <t>SINAPI 74130/004</t>
  </si>
  <si>
    <t>8.30</t>
  </si>
  <si>
    <r>
      <t xml:space="preserve">ATUALIZAÇÃO PROJETO - </t>
    </r>
    <r>
      <rPr>
        <b/>
        <i/>
        <sz val="11"/>
        <color theme="1"/>
        <rFont val="Calibri"/>
        <family val="2"/>
        <scheme val="minor"/>
      </rPr>
      <t>AS BUILT (Em arquivo digital Revit)</t>
    </r>
  </si>
  <si>
    <t>CABO DE COBRE FLEXÍVEL ISOLADO, 1,5 MM², ANTI-CHAMA 450/750 V, PARA CIRCUITOS TERMINAIS - FORNECIMENTO E INSTALAÇÃO. AF_12/2015</t>
  </si>
  <si>
    <t>CABO DE COBRE FLEXÍVEL ISOLADO, 2,5 MM², ANTI-CHAMA 450/750 V, PARA CIRCUITOS TERMINAIS - FORNECIMENTO E INSTALAÇÃO. AF_12/2016</t>
  </si>
  <si>
    <t>CABO DE COBRE FLEXÍVEL ISOLADO, 4 MM², ANTI-CHAMA 450/750 V, PARA CIRCUITOS TERMINAIS - FORNECIMENTO E INSTALAÇÃO. AF_12/2017</t>
  </si>
  <si>
    <t>SINAPI 91928</t>
  </si>
  <si>
    <t>SINAPI 91926</t>
  </si>
  <si>
    <t>SINAPI 91924</t>
  </si>
  <si>
    <t>SINAPI 91930</t>
  </si>
  <si>
    <t>CABO DE COBRE FLEXÍVEL ISOLADO, 6 MM², ANTI-CHAMA 450/750 V, PARA CIRCUITOS TERMINAIS - FORNECIMENTO E INSTALAÇÃO. AF_12/2018</t>
  </si>
  <si>
    <t>CABO DE COBRE FLEXÍVEL ISOLADO, 10 MM², ANTI-CHAMA 450/750 V, PARA CIRCUITOS TERMINAIS - FORNECIMENTO E INSTALAÇÃO. AF_12/2019</t>
  </si>
  <si>
    <t>SINAPI 91932</t>
  </si>
  <si>
    <t>ATA MPU 56/2014
ITEM 2</t>
  </si>
  <si>
    <t>ATA MPU 56/2014
ITEM 19</t>
  </si>
  <si>
    <t>ATA MPU 56/2014
ITEM 12</t>
  </si>
  <si>
    <t>ATA MPU 56/2014
ITEM 15</t>
  </si>
  <si>
    <t>CRONOGRAMA FÍSICO-FINANCEIRO (modelo)</t>
  </si>
  <si>
    <t>PLANILHA DE PREÇOS ESTIMADOS (modelo)</t>
  </si>
  <si>
    <t>BDI OBRA</t>
  </si>
  <si>
    <t>AC</t>
  </si>
  <si>
    <t>SG</t>
  </si>
  <si>
    <t>R</t>
  </si>
  <si>
    <t>DF</t>
  </si>
  <si>
    <t>L</t>
  </si>
  <si>
    <t>I</t>
  </si>
  <si>
    <t>Administração Central</t>
  </si>
  <si>
    <t>Seguros + garantias</t>
  </si>
  <si>
    <t>Riscos e imprevistos</t>
  </si>
  <si>
    <t>Despesas Financeiras</t>
  </si>
  <si>
    <t>Lucro</t>
  </si>
  <si>
    <t>Tributos</t>
  </si>
  <si>
    <t>Percentuais da estimativa de preço</t>
  </si>
  <si>
    <t>Percentuais mínimos</t>
  </si>
  <si>
    <t>Percentuais máximos</t>
  </si>
  <si>
    <t>Percentuais médios</t>
  </si>
  <si>
    <t>ISSQN</t>
  </si>
  <si>
    <t>PIS</t>
  </si>
  <si>
    <t>CONFINS</t>
  </si>
  <si>
    <t>CPRB</t>
  </si>
  <si>
    <t>Itens que compõem o BDI</t>
  </si>
  <si>
    <t>BDI</t>
  </si>
</sst>
</file>

<file path=xl/styles.xml><?xml version="1.0" encoding="utf-8"?>
<styleSheet xmlns="http://schemas.openxmlformats.org/spreadsheetml/2006/main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0_);_(* \(#,##0.000\);_(* &quot;-&quot;??_);_(@_)"/>
    <numFmt numFmtId="165" formatCode="_-* #,##0.000_-;\-* #,##0.000_-;_-* &quot;-&quot;???_-;_-@_-"/>
    <numFmt numFmtId="166" formatCode="0.000%"/>
    <numFmt numFmtId="167" formatCode="&quot;R$ &quot;#,##0.00"/>
    <numFmt numFmtId="168" formatCode="#,##0.000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/>
    <xf numFmtId="0" fontId="0" fillId="0" borderId="6" xfId="0" applyBorder="1"/>
    <xf numFmtId="4" fontId="1" fillId="0" borderId="5" xfId="0" applyNumberFormat="1" applyFont="1" applyBorder="1"/>
    <xf numFmtId="0" fontId="2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8" xfId="0" applyBorder="1"/>
    <xf numFmtId="4" fontId="0" fillId="0" borderId="8" xfId="0" applyNumberFormat="1" applyBorder="1"/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4" fontId="0" fillId="0" borderId="14" xfId="0" applyNumberFormat="1" applyBorder="1"/>
    <xf numFmtId="0" fontId="0" fillId="0" borderId="15" xfId="0" applyBorder="1" applyAlignment="1">
      <alignment wrapText="1"/>
    </xf>
    <xf numFmtId="0" fontId="3" fillId="0" borderId="0" xfId="0" applyFont="1"/>
    <xf numFmtId="0" fontId="0" fillId="0" borderId="16" xfId="0" applyBorder="1" applyAlignment="1">
      <alignment horizontal="center" wrapText="1"/>
    </xf>
    <xf numFmtId="4" fontId="0" fillId="0" borderId="17" xfId="0" applyNumberFormat="1" applyBorder="1"/>
    <xf numFmtId="43" fontId="0" fillId="0" borderId="5" xfId="0" applyNumberFormat="1" applyBorder="1"/>
    <xf numFmtId="0" fontId="0" fillId="0" borderId="9" xfId="0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0" fontId="0" fillId="3" borderId="16" xfId="0" applyFill="1" applyBorder="1" applyAlignment="1">
      <alignment horizontal="center" wrapText="1"/>
    </xf>
    <xf numFmtId="0" fontId="0" fillId="3" borderId="14" xfId="0" applyFill="1" applyBorder="1" applyAlignment="1">
      <alignment horizontal="center"/>
    </xf>
    <xf numFmtId="0" fontId="0" fillId="3" borderId="14" xfId="0" applyFill="1" applyBorder="1"/>
    <xf numFmtId="0" fontId="0" fillId="3" borderId="17" xfId="0" applyFill="1" applyBorder="1"/>
    <xf numFmtId="4" fontId="1" fillId="3" borderId="5" xfId="0" applyNumberFormat="1" applyFont="1" applyFill="1" applyBorder="1"/>
    <xf numFmtId="0" fontId="0" fillId="3" borderId="6" xfId="0" applyFill="1" applyBorder="1"/>
    <xf numFmtId="4" fontId="0" fillId="3" borderId="14" xfId="0" applyNumberFormat="1" applyFill="1" applyBorder="1"/>
    <xf numFmtId="4" fontId="0" fillId="3" borderId="17" xfId="0" applyNumberFormat="1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/>
    </xf>
    <xf numFmtId="4" fontId="2" fillId="2" borderId="11" xfId="0" applyNumberFormat="1" applyFont="1" applyFill="1" applyBorder="1"/>
    <xf numFmtId="0" fontId="3" fillId="2" borderId="12" xfId="0" applyFont="1" applyFill="1" applyBorder="1"/>
    <xf numFmtId="0" fontId="2" fillId="2" borderId="11" xfId="0" quotePrefix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wrapText="1"/>
    </xf>
    <xf numFmtId="0" fontId="3" fillId="3" borderId="11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0" fontId="3" fillId="3" borderId="18" xfId="0" applyFont="1" applyFill="1" applyBorder="1"/>
    <xf numFmtId="0" fontId="3" fillId="3" borderId="19" xfId="0" applyFont="1" applyFill="1" applyBorder="1"/>
    <xf numFmtId="0" fontId="3" fillId="3" borderId="21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10" fontId="0" fillId="0" borderId="0" xfId="0" applyNumberFormat="1"/>
    <xf numFmtId="0" fontId="0" fillId="0" borderId="22" xfId="0" applyBorder="1" applyAlignment="1">
      <alignment horizontal="center"/>
    </xf>
    <xf numFmtId="0" fontId="0" fillId="0" borderId="23" xfId="0" applyBorder="1" applyAlignment="1">
      <alignment wrapText="1"/>
    </xf>
    <xf numFmtId="0" fontId="0" fillId="0" borderId="23" xfId="0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0" fillId="0" borderId="24" xfId="0" applyBorder="1"/>
    <xf numFmtId="4" fontId="0" fillId="0" borderId="25" xfId="0" applyNumberFormat="1" applyBorder="1"/>
    <xf numFmtId="10" fontId="4" fillId="0" borderId="0" xfId="0" applyNumberFormat="1" applyFont="1" applyBorder="1"/>
    <xf numFmtId="4" fontId="4" fillId="0" borderId="26" xfId="0" applyNumberFormat="1" applyFont="1" applyBorder="1"/>
    <xf numFmtId="4" fontId="0" fillId="0" borderId="27" xfId="0" applyNumberFormat="1" applyBorder="1"/>
    <xf numFmtId="0" fontId="0" fillId="0" borderId="28" xfId="0" applyBorder="1" applyAlignment="1">
      <alignment wrapText="1"/>
    </xf>
    <xf numFmtId="0" fontId="1" fillId="0" borderId="0" xfId="0" applyFont="1"/>
    <xf numFmtId="43" fontId="0" fillId="0" borderId="0" xfId="1" applyFont="1"/>
    <xf numFmtId="0" fontId="1" fillId="0" borderId="0" xfId="0" applyFont="1" applyBorder="1"/>
    <xf numFmtId="44" fontId="0" fillId="0" borderId="0" xfId="2" applyFont="1" applyBorder="1" applyAlignment="1">
      <alignment horizontal="center"/>
    </xf>
    <xf numFmtId="0" fontId="0" fillId="0" borderId="0" xfId="0" applyBorder="1"/>
    <xf numFmtId="44" fontId="1" fillId="0" borderId="0" xfId="2" applyFont="1" applyBorder="1" applyAlignment="1">
      <alignment horizontal="center"/>
    </xf>
    <xf numFmtId="44" fontId="0" fillId="0" borderId="0" xfId="0" applyNumberFormat="1" applyBorder="1"/>
    <xf numFmtId="0" fontId="0" fillId="0" borderId="0" xfId="0" applyFont="1"/>
    <xf numFmtId="0" fontId="1" fillId="4" borderId="0" xfId="0" applyFont="1" applyFill="1"/>
    <xf numFmtId="0" fontId="0" fillId="0" borderId="0" xfId="0" applyFont="1" applyAlignment="1">
      <alignment horizontal="center"/>
    </xf>
    <xf numFmtId="0" fontId="1" fillId="0" borderId="30" xfId="0" applyFont="1" applyBorder="1" applyAlignment="1">
      <alignment horizontal="center" vertical="center" wrapText="1"/>
    </xf>
    <xf numFmtId="44" fontId="1" fillId="0" borderId="30" xfId="2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7" fillId="6" borderId="29" xfId="0" applyFont="1" applyFill="1" applyBorder="1" applyAlignment="1">
      <alignment horizontal="left" vertical="top" wrapText="1"/>
    </xf>
    <xf numFmtId="0" fontId="7" fillId="6" borderId="29" xfId="0" applyFont="1" applyFill="1" applyBorder="1" applyAlignment="1">
      <alignment horizontal="center" vertical="center" wrapText="1"/>
    </xf>
    <xf numFmtId="164" fontId="7" fillId="6" borderId="29" xfId="1" applyNumberFormat="1" applyFont="1" applyFill="1" applyBorder="1" applyAlignment="1">
      <alignment vertical="center" wrapText="1"/>
    </xf>
    <xf numFmtId="0" fontId="7" fillId="0" borderId="0" xfId="0" applyFont="1" applyFill="1"/>
    <xf numFmtId="0" fontId="7" fillId="0" borderId="29" xfId="0" applyFont="1" applyBorder="1" applyAlignment="1">
      <alignment horizontal="right" vertical="top" wrapText="1"/>
    </xf>
    <xf numFmtId="0" fontId="7" fillId="0" borderId="29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center" vertical="center" wrapText="1"/>
    </xf>
    <xf numFmtId="164" fontId="7" fillId="0" borderId="29" xfId="1" applyNumberFormat="1" applyFont="1" applyBorder="1" applyAlignment="1">
      <alignment vertical="center" wrapText="1"/>
    </xf>
    <xf numFmtId="44" fontId="7" fillId="0" borderId="29" xfId="2" applyFont="1" applyBorder="1" applyAlignment="1">
      <alignment horizontal="right"/>
    </xf>
    <xf numFmtId="0" fontId="7" fillId="5" borderId="29" xfId="0" applyFont="1" applyFill="1" applyBorder="1" applyAlignment="1">
      <alignment horizontal="right" vertical="top" wrapText="1"/>
    </xf>
    <xf numFmtId="44" fontId="0" fillId="0" borderId="0" xfId="2" applyFont="1"/>
    <xf numFmtId="0" fontId="7" fillId="6" borderId="29" xfId="0" applyFont="1" applyFill="1" applyBorder="1" applyAlignment="1">
      <alignment horizontal="right" vertical="top"/>
    </xf>
    <xf numFmtId="44" fontId="7" fillId="6" borderId="29" xfId="2" applyFont="1" applyFill="1" applyBorder="1" applyAlignment="1">
      <alignment horizontal="right" vertical="top" wrapText="1"/>
    </xf>
    <xf numFmtId="44" fontId="7" fillId="5" borderId="29" xfId="2" applyFont="1" applyFill="1" applyBorder="1" applyAlignment="1">
      <alignment horizontal="right"/>
    </xf>
    <xf numFmtId="165" fontId="7" fillId="0" borderId="0" xfId="0" applyNumberFormat="1" applyFont="1" applyFill="1"/>
    <xf numFmtId="0" fontId="7" fillId="0" borderId="0" xfId="0" applyFont="1" applyBorder="1" applyAlignment="1">
      <alignment horizontal="right" vertical="top" wrapText="1"/>
    </xf>
    <xf numFmtId="0" fontId="7" fillId="5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vertical="center" wrapText="1"/>
    </xf>
    <xf numFmtId="43" fontId="7" fillId="0" borderId="0" xfId="1" applyFont="1" applyBorder="1" applyAlignment="1">
      <alignment horizontal="right"/>
    </xf>
    <xf numFmtId="43" fontId="7" fillId="5" borderId="0" xfId="1" applyFont="1" applyFill="1" applyBorder="1" applyAlignment="1">
      <alignment horizontal="right"/>
    </xf>
    <xf numFmtId="0" fontId="1" fillId="0" borderId="5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4" fontId="0" fillId="0" borderId="0" xfId="0" applyNumberFormat="1" applyBorder="1"/>
    <xf numFmtId="0" fontId="0" fillId="0" borderId="5" xfId="0" applyFill="1" applyBorder="1"/>
    <xf numFmtId="0" fontId="0" fillId="0" borderId="14" xfId="0" applyFill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/>
    </xf>
    <xf numFmtId="4" fontId="0" fillId="0" borderId="5" xfId="0" applyNumberFormat="1" applyBorder="1"/>
    <xf numFmtId="0" fontId="0" fillId="0" borderId="6" xfId="0" applyBorder="1" applyAlignment="1">
      <alignment wrapText="1"/>
    </xf>
    <xf numFmtId="4" fontId="4" fillId="0" borderId="5" xfId="0" applyNumberFormat="1" applyFont="1" applyBorder="1"/>
    <xf numFmtId="0" fontId="0" fillId="0" borderId="5" xfId="0" applyFill="1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wrapText="1"/>
    </xf>
    <xf numFmtId="10" fontId="4" fillId="0" borderId="5" xfId="0" applyNumberFormat="1" applyFont="1" applyBorder="1"/>
    <xf numFmtId="0" fontId="0" fillId="0" borderId="8" xfId="0" applyFill="1" applyBorder="1"/>
    <xf numFmtId="4" fontId="0" fillId="0" borderId="5" xfId="0" applyNumberFormat="1" applyFill="1" applyBorder="1"/>
    <xf numFmtId="0" fontId="0" fillId="0" borderId="0" xfId="0"/>
    <xf numFmtId="0" fontId="7" fillId="0" borderId="29" xfId="0" applyFont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44" fontId="7" fillId="0" borderId="29" xfId="2" applyFont="1" applyBorder="1" applyAlignment="1">
      <alignment horizontal="right" vertical="center"/>
    </xf>
    <xf numFmtId="164" fontId="7" fillId="7" borderId="29" xfId="1" applyNumberFormat="1" applyFont="1" applyFill="1" applyBorder="1" applyAlignment="1">
      <alignment vertical="center" wrapText="1"/>
    </xf>
    <xf numFmtId="4" fontId="0" fillId="0" borderId="0" xfId="0" applyNumberFormat="1" applyFill="1" applyBorder="1"/>
    <xf numFmtId="166" fontId="1" fillId="0" borderId="0" xfId="3" applyNumberFormat="1" applyFont="1"/>
    <xf numFmtId="44" fontId="7" fillId="8" borderId="29" xfId="2" applyFont="1" applyFill="1" applyBorder="1" applyAlignment="1">
      <alignment horizontal="right" vertical="center" wrapText="1"/>
    </xf>
    <xf numFmtId="44" fontId="7" fillId="8" borderId="29" xfId="2" applyFont="1" applyFill="1" applyBorder="1" applyAlignment="1">
      <alignment horizontal="right" vertical="top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4" fontId="9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9" fontId="9" fillId="0" borderId="0" xfId="0" applyNumberFormat="1" applyFont="1" applyAlignment="1">
      <alignment horizontal="right" vertical="center"/>
    </xf>
    <xf numFmtId="4" fontId="9" fillId="4" borderId="0" xfId="0" applyNumberFormat="1" applyFont="1" applyFill="1" applyAlignment="1">
      <alignment vertical="center"/>
    </xf>
    <xf numFmtId="4" fontId="9" fillId="0" borderId="0" xfId="0" applyNumberFormat="1" applyFont="1" applyFill="1" applyAlignment="1">
      <alignment horizontal="right" vertical="center"/>
    </xf>
    <xf numFmtId="167" fontId="9" fillId="0" borderId="0" xfId="0" applyNumberFormat="1" applyFont="1" applyFill="1" applyAlignment="1">
      <alignment vertical="center"/>
    </xf>
    <xf numFmtId="49" fontId="8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right" vertical="center" wrapText="1"/>
    </xf>
    <xf numFmtId="166" fontId="9" fillId="0" borderId="0" xfId="0" applyNumberFormat="1" applyFont="1" applyFill="1" applyAlignment="1">
      <alignment horizontal="center" vertical="center"/>
    </xf>
    <xf numFmtId="49" fontId="9" fillId="0" borderId="0" xfId="0" applyNumberFormat="1" applyFont="1" applyAlignment="1">
      <alignment vertical="center" wrapText="1"/>
    </xf>
    <xf numFmtId="167" fontId="9" fillId="0" borderId="0" xfId="0" applyNumberFormat="1" applyFont="1" applyAlignment="1">
      <alignment horizontal="left" vertical="center"/>
    </xf>
    <xf numFmtId="2" fontId="9" fillId="0" borderId="0" xfId="0" applyNumberFormat="1" applyFont="1" applyFill="1" applyAlignment="1">
      <alignment vertical="center"/>
    </xf>
    <xf numFmtId="9" fontId="9" fillId="0" borderId="0" xfId="0" applyNumberFormat="1" applyFont="1" applyFill="1" applyAlignment="1">
      <alignment horizontal="right" vertical="center"/>
    </xf>
    <xf numFmtId="1" fontId="9" fillId="0" borderId="0" xfId="0" applyNumberFormat="1" applyFont="1" applyFill="1" applyAlignment="1">
      <alignment horizontal="right" vertical="center"/>
    </xf>
    <xf numFmtId="49" fontId="9" fillId="0" borderId="0" xfId="0" applyNumberFormat="1" applyFont="1" applyAlignment="1">
      <alignment horizontal="left" vertical="center" wrapText="1"/>
    </xf>
    <xf numFmtId="10" fontId="9" fillId="4" borderId="0" xfId="0" applyNumberFormat="1" applyFont="1" applyFill="1" applyAlignment="1">
      <alignment vertical="center"/>
    </xf>
    <xf numFmtId="10" fontId="12" fillId="4" borderId="0" xfId="0" applyNumberFormat="1" applyFont="1" applyFill="1" applyAlignment="1">
      <alignment vertical="center"/>
    </xf>
    <xf numFmtId="167" fontId="9" fillId="0" borderId="0" xfId="0" applyNumberFormat="1" applyFont="1" applyAlignment="1">
      <alignment horizontal="right" vertical="center"/>
    </xf>
    <xf numFmtId="0" fontId="8" fillId="9" borderId="5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vertical="center"/>
    </xf>
    <xf numFmtId="0" fontId="9" fillId="9" borderId="5" xfId="0" applyFont="1" applyFill="1" applyBorder="1" applyAlignment="1">
      <alignment vertical="center"/>
    </xf>
    <xf numFmtId="0" fontId="9" fillId="9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vertical="center"/>
    </xf>
    <xf numFmtId="4" fontId="9" fillId="10" borderId="5" xfId="0" applyNumberFormat="1" applyFont="1" applyFill="1" applyBorder="1" applyAlignment="1">
      <alignment horizontal="right" vertical="center"/>
    </xf>
    <xf numFmtId="4" fontId="8" fillId="10" borderId="5" xfId="0" applyNumberFormat="1" applyFont="1" applyFill="1" applyBorder="1" applyAlignment="1">
      <alignment horizontal="center" vertical="center"/>
    </xf>
    <xf numFmtId="4" fontId="9" fillId="10" borderId="5" xfId="0" applyNumberFormat="1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9" fontId="9" fillId="0" borderId="5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vertical="center"/>
    </xf>
    <xf numFmtId="49" fontId="9" fillId="0" borderId="5" xfId="0" applyNumberFormat="1" applyFont="1" applyBorder="1" applyAlignment="1">
      <alignment vertical="center" wrapText="1"/>
    </xf>
    <xf numFmtId="49" fontId="8" fillId="0" borderId="5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4" fontId="8" fillId="9" borderId="5" xfId="0" applyNumberFormat="1" applyFont="1" applyFill="1" applyBorder="1" applyAlignment="1">
      <alignment vertical="center"/>
    </xf>
    <xf numFmtId="166" fontId="2" fillId="0" borderId="0" xfId="0" applyNumberFormat="1" applyFont="1"/>
    <xf numFmtId="0" fontId="1" fillId="2" borderId="3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/>
    </xf>
    <xf numFmtId="10" fontId="0" fillId="2" borderId="4" xfId="0" applyNumberFormat="1" applyFont="1" applyFill="1" applyBorder="1" applyAlignment="1">
      <alignment horizontal="center" vertical="center" wrapText="1"/>
    </xf>
    <xf numFmtId="2" fontId="0" fillId="2" borderId="6" xfId="0" applyNumberFormat="1" applyFont="1" applyFill="1" applyBorder="1" applyAlignment="1">
      <alignment horizontal="center" vertical="center" wrapText="1"/>
    </xf>
    <xf numFmtId="4" fontId="0" fillId="0" borderId="6" xfId="0" applyNumberFormat="1" applyBorder="1" applyAlignment="1">
      <alignment vertical="center"/>
    </xf>
    <xf numFmtId="9" fontId="0" fillId="0" borderId="4" xfId="0" applyNumberFormat="1" applyBorder="1" applyAlignment="1">
      <alignment horizontal="center" vertical="center"/>
    </xf>
    <xf numFmtId="0" fontId="0" fillId="0" borderId="33" xfId="0" applyBorder="1"/>
    <xf numFmtId="9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wrapText="1"/>
    </xf>
    <xf numFmtId="0" fontId="0" fillId="0" borderId="25" xfId="0" applyBorder="1" applyAlignment="1">
      <alignment horizontal="center" wrapText="1"/>
    </xf>
    <xf numFmtId="0" fontId="0" fillId="0" borderId="25" xfId="0" applyBorder="1"/>
    <xf numFmtId="9" fontId="0" fillId="3" borderId="4" xfId="0" applyNumberFormat="1" applyFill="1" applyBorder="1" applyAlignment="1">
      <alignment horizontal="center" vertical="center"/>
    </xf>
    <xf numFmtId="4" fontId="0" fillId="3" borderId="6" xfId="0" applyNumberFormat="1" applyFill="1" applyBorder="1" applyAlignment="1">
      <alignment vertical="center"/>
    </xf>
    <xf numFmtId="9" fontId="1" fillId="7" borderId="4" xfId="0" applyNumberFormat="1" applyFont="1" applyFill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wrapText="1"/>
    </xf>
    <xf numFmtId="0" fontId="0" fillId="0" borderId="40" xfId="0" applyBorder="1" applyAlignment="1">
      <alignment horizontal="center" wrapText="1"/>
    </xf>
    <xf numFmtId="0" fontId="0" fillId="0" borderId="40" xfId="0" applyBorder="1" applyAlignment="1">
      <alignment horizontal="center"/>
    </xf>
    <xf numFmtId="0" fontId="0" fillId="0" borderId="40" xfId="0" applyBorder="1"/>
    <xf numFmtId="0" fontId="1" fillId="0" borderId="40" xfId="0" applyFont="1" applyBorder="1"/>
    <xf numFmtId="0" fontId="0" fillId="0" borderId="41" xfId="0" applyBorder="1"/>
    <xf numFmtId="0" fontId="0" fillId="0" borderId="42" xfId="0" applyBorder="1" applyAlignment="1">
      <alignment horizontal="right"/>
    </xf>
    <xf numFmtId="0" fontId="0" fillId="0" borderId="43" xfId="0" applyBorder="1"/>
    <xf numFmtId="14" fontId="0" fillId="0" borderId="0" xfId="0" applyNumberFormat="1" applyBorder="1" applyAlignment="1">
      <alignment horizontal="left" wrapText="1"/>
    </xf>
    <xf numFmtId="14" fontId="0" fillId="0" borderId="0" xfId="0" quotePrefix="1" applyNumberFormat="1" applyBorder="1" applyAlignment="1">
      <alignment horizontal="left" wrapText="1"/>
    </xf>
    <xf numFmtId="0" fontId="0" fillId="0" borderId="44" xfId="0" applyBorder="1" applyAlignment="1">
      <alignment horizontal="right"/>
    </xf>
    <xf numFmtId="0" fontId="1" fillId="0" borderId="25" xfId="0" applyFont="1" applyBorder="1"/>
    <xf numFmtId="0" fontId="0" fillId="0" borderId="45" xfId="0" applyBorder="1"/>
    <xf numFmtId="0" fontId="0" fillId="0" borderId="0" xfId="0" applyBorder="1" applyAlignment="1">
      <alignment vertical="center"/>
    </xf>
    <xf numFmtId="9" fontId="0" fillId="0" borderId="0" xfId="0" applyNumberFormat="1" applyBorder="1"/>
    <xf numFmtId="166" fontId="1" fillId="0" borderId="0" xfId="3" applyNumberFormat="1" applyFont="1" applyBorder="1"/>
    <xf numFmtId="0" fontId="0" fillId="0" borderId="42" xfId="0" applyBorder="1" applyAlignment="1">
      <alignment horizontal="center"/>
    </xf>
    <xf numFmtId="166" fontId="2" fillId="0" borderId="0" xfId="0" applyNumberFormat="1" applyFont="1" applyBorder="1"/>
    <xf numFmtId="4" fontId="2" fillId="0" borderId="0" xfId="0" applyNumberFormat="1" applyFont="1" applyBorder="1"/>
    <xf numFmtId="0" fontId="3" fillId="0" borderId="0" xfId="0" applyFont="1" applyBorder="1"/>
    <xf numFmtId="0" fontId="5" fillId="0" borderId="0" xfId="0" applyFont="1" applyBorder="1" applyAlignment="1">
      <alignment horizontal="left" wrapText="1"/>
    </xf>
    <xf numFmtId="0" fontId="0" fillId="0" borderId="43" xfId="0" applyBorder="1" applyAlignment="1">
      <alignment wrapText="1"/>
    </xf>
    <xf numFmtId="0" fontId="3" fillId="0" borderId="42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43" xfId="0" applyFont="1" applyBorder="1"/>
    <xf numFmtId="0" fontId="0" fillId="0" borderId="0" xfId="0" applyFill="1" applyBorder="1"/>
    <xf numFmtId="166" fontId="0" fillId="0" borderId="0" xfId="0" applyNumberFormat="1" applyBorder="1"/>
    <xf numFmtId="10" fontId="1" fillId="7" borderId="4" xfId="0" applyNumberFormat="1" applyFont="1" applyFill="1" applyBorder="1" applyAlignment="1">
      <alignment horizontal="center" vertical="center"/>
    </xf>
    <xf numFmtId="10" fontId="0" fillId="0" borderId="0" xfId="0" applyNumberFormat="1" applyBorder="1"/>
    <xf numFmtId="44" fontId="1" fillId="0" borderId="6" xfId="2" applyFont="1" applyBorder="1" applyAlignment="1">
      <alignment vertical="center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wrapText="1"/>
    </xf>
    <xf numFmtId="0" fontId="5" fillId="0" borderId="0" xfId="0" applyFont="1" applyBorder="1" applyAlignment="1">
      <alignment horizontal="left" wrapText="1"/>
    </xf>
    <xf numFmtId="44" fontId="0" fillId="0" borderId="0" xfId="2" applyNumberFormat="1" applyFont="1" applyBorder="1"/>
    <xf numFmtId="2" fontId="0" fillId="3" borderId="4" xfId="0" applyNumberFormat="1" applyFill="1" applyBorder="1" applyAlignment="1">
      <alignment horizontal="right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wrapText="1"/>
    </xf>
    <xf numFmtId="0" fontId="0" fillId="0" borderId="47" xfId="0" applyBorder="1" applyAlignment="1">
      <alignment horizontal="center" wrapText="1"/>
    </xf>
    <xf numFmtId="0" fontId="0" fillId="0" borderId="47" xfId="0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0" fillId="0" borderId="49" xfId="0" applyBorder="1" applyAlignment="1">
      <alignment horizontal="center"/>
    </xf>
    <xf numFmtId="0" fontId="0" fillId="0" borderId="50" xfId="0" applyBorder="1"/>
    <xf numFmtId="0" fontId="0" fillId="0" borderId="49" xfId="0" applyBorder="1" applyAlignment="1">
      <alignment horizontal="right"/>
    </xf>
    <xf numFmtId="0" fontId="1" fillId="2" borderId="51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 wrapText="1"/>
    </xf>
    <xf numFmtId="0" fontId="1" fillId="3" borderId="53" xfId="0" applyFont="1" applyFill="1" applyBorder="1" applyAlignment="1">
      <alignment horizontal="center"/>
    </xf>
    <xf numFmtId="4" fontId="1" fillId="3" borderId="54" xfId="0" applyNumberFormat="1" applyFont="1" applyFill="1" applyBorder="1"/>
    <xf numFmtId="0" fontId="0" fillId="0" borderId="53" xfId="0" applyBorder="1" applyAlignment="1">
      <alignment horizontal="center"/>
    </xf>
    <xf numFmtId="4" fontId="0" fillId="0" borderId="54" xfId="0" applyNumberFormat="1" applyBorder="1"/>
    <xf numFmtId="4" fontId="0" fillId="0" borderId="50" xfId="0" applyNumberFormat="1" applyBorder="1"/>
    <xf numFmtId="0" fontId="0" fillId="0" borderId="55" xfId="0" applyBorder="1" applyAlignment="1">
      <alignment horizontal="center"/>
    </xf>
    <xf numFmtId="0" fontId="0" fillId="0" borderId="56" xfId="0" applyBorder="1"/>
    <xf numFmtId="0" fontId="0" fillId="0" borderId="54" xfId="0" applyBorder="1"/>
    <xf numFmtId="4" fontId="0" fillId="0" borderId="56" xfId="0" applyNumberFormat="1" applyBorder="1"/>
    <xf numFmtId="4" fontId="1" fillId="0" borderId="54" xfId="0" applyNumberFormat="1" applyFont="1" applyBorder="1"/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4" fontId="0" fillId="0" borderId="59" xfId="0" applyNumberFormat="1" applyBorder="1"/>
    <xf numFmtId="0" fontId="2" fillId="2" borderId="60" xfId="0" applyFont="1" applyFill="1" applyBorder="1" applyAlignment="1">
      <alignment horizontal="center"/>
    </xf>
    <xf numFmtId="4" fontId="2" fillId="2" borderId="61" xfId="0" applyNumberFormat="1" applyFont="1" applyFill="1" applyBorder="1"/>
    <xf numFmtId="0" fontId="2" fillId="3" borderId="60" xfId="0" applyFont="1" applyFill="1" applyBorder="1" applyAlignment="1">
      <alignment horizontal="center"/>
    </xf>
    <xf numFmtId="0" fontId="3" fillId="3" borderId="62" xfId="0" applyFont="1" applyFill="1" applyBorder="1"/>
    <xf numFmtId="0" fontId="3" fillId="0" borderId="49" xfId="0" applyFont="1" applyBorder="1" applyAlignment="1">
      <alignment horizontal="center"/>
    </xf>
    <xf numFmtId="0" fontId="3" fillId="0" borderId="50" xfId="0" applyFont="1" applyBorder="1"/>
    <xf numFmtId="0" fontId="2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wrapText="1"/>
    </xf>
    <xf numFmtId="0" fontId="2" fillId="2" borderId="64" xfId="0" quotePrefix="1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3" fillId="2" borderId="65" xfId="0" applyFont="1" applyFill="1" applyBorder="1"/>
    <xf numFmtId="0" fontId="3" fillId="2" borderId="66" xfId="0" applyFont="1" applyFill="1" applyBorder="1"/>
    <xf numFmtId="0" fontId="3" fillId="2" borderId="67" xfId="0" applyFont="1" applyFill="1" applyBorder="1"/>
    <xf numFmtId="4" fontId="2" fillId="2" borderId="64" xfId="0" applyNumberFormat="1" applyFont="1" applyFill="1" applyBorder="1"/>
    <xf numFmtId="0" fontId="3" fillId="2" borderId="68" xfId="0" applyFont="1" applyFill="1" applyBorder="1"/>
    <xf numFmtId="4" fontId="0" fillId="11" borderId="6" xfId="0" applyNumberFormat="1" applyFill="1" applyBorder="1" applyAlignment="1">
      <alignment vertical="center"/>
    </xf>
    <xf numFmtId="10" fontId="4" fillId="0" borderId="14" xfId="0" applyNumberFormat="1" applyFont="1" applyBorder="1"/>
    <xf numFmtId="4" fontId="4" fillId="0" borderId="14" xfId="0" applyNumberFormat="1" applyFont="1" applyBorder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10" fontId="0" fillId="0" borderId="29" xfId="3" applyNumberFormat="1" applyFont="1" applyBorder="1" applyAlignment="1">
      <alignment horizontal="center"/>
    </xf>
    <xf numFmtId="0" fontId="0" fillId="0" borderId="72" xfId="0" applyBorder="1" applyAlignment="1">
      <alignment horizontal="center"/>
    </xf>
    <xf numFmtId="10" fontId="0" fillId="0" borderId="73" xfId="3" applyNumberFormat="1" applyFont="1" applyBorder="1" applyAlignment="1">
      <alignment horizontal="center"/>
    </xf>
    <xf numFmtId="0" fontId="0" fillId="0" borderId="74" xfId="0" applyBorder="1" applyAlignment="1">
      <alignment horizontal="center"/>
    </xf>
    <xf numFmtId="10" fontId="0" fillId="0" borderId="75" xfId="0" applyNumberFormat="1" applyBorder="1" applyAlignment="1">
      <alignment horizontal="center"/>
    </xf>
    <xf numFmtId="10" fontId="0" fillId="0" borderId="76" xfId="0" applyNumberFormat="1" applyBorder="1" applyAlignment="1">
      <alignment horizontal="center"/>
    </xf>
    <xf numFmtId="0" fontId="0" fillId="0" borderId="69" xfId="0" applyBorder="1"/>
    <xf numFmtId="10" fontId="0" fillId="0" borderId="71" xfId="3" applyNumberFormat="1" applyFont="1" applyBorder="1" applyAlignment="1">
      <alignment horizontal="center"/>
    </xf>
    <xf numFmtId="0" fontId="0" fillId="0" borderId="72" xfId="0" applyBorder="1"/>
    <xf numFmtId="0" fontId="0" fillId="0" borderId="74" xfId="0" applyBorder="1"/>
    <xf numFmtId="10" fontId="0" fillId="0" borderId="76" xfId="3" applyNumberFormat="1" applyFont="1" applyBorder="1" applyAlignment="1">
      <alignment horizontal="center"/>
    </xf>
    <xf numFmtId="0" fontId="0" fillId="7" borderId="70" xfId="0" applyFill="1" applyBorder="1" applyAlignment="1">
      <alignment horizontal="center" vertical="center" wrapText="1"/>
    </xf>
    <xf numFmtId="0" fontId="0" fillId="7" borderId="71" xfId="0" applyFill="1" applyBorder="1" applyAlignment="1">
      <alignment horizontal="center" vertical="center" wrapText="1"/>
    </xf>
    <xf numFmtId="10" fontId="0" fillId="7" borderId="77" xfId="3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0" fillId="7" borderId="77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7" borderId="69" xfId="0" applyFill="1" applyBorder="1" applyAlignment="1">
      <alignment horizontal="center" vertical="center"/>
    </xf>
    <xf numFmtId="0" fontId="0" fillId="7" borderId="70" xfId="0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49" fontId="9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left" vertical="center"/>
    </xf>
    <xf numFmtId="4" fontId="8" fillId="9" borderId="31" xfId="0" applyNumberFormat="1" applyFont="1" applyFill="1" applyBorder="1" applyAlignment="1">
      <alignment horizontal="center" vertical="center" wrapText="1"/>
    </xf>
    <xf numFmtId="4" fontId="8" fillId="9" borderId="27" xfId="0" applyNumberFormat="1" applyFont="1" applyFill="1" applyBorder="1" applyAlignment="1">
      <alignment horizontal="center" vertical="center" wrapText="1"/>
    </xf>
    <xf numFmtId="4" fontId="8" fillId="9" borderId="32" xfId="0" applyNumberFormat="1" applyFont="1" applyFill="1" applyBorder="1" applyAlignment="1">
      <alignment horizontal="center" vertical="center" wrapText="1"/>
    </xf>
    <xf numFmtId="168" fontId="9" fillId="0" borderId="0" xfId="0" applyNumberFormat="1" applyFont="1" applyAlignment="1">
      <alignment horizontal="left" vertical="center"/>
    </xf>
    <xf numFmtId="167" fontId="9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vertical="center" wrapText="1"/>
    </xf>
    <xf numFmtId="0" fontId="8" fillId="9" borderId="16" xfId="0" applyFont="1" applyFill="1" applyBorder="1" applyAlignment="1">
      <alignment horizontal="right" vertical="center"/>
    </xf>
    <xf numFmtId="0" fontId="8" fillId="9" borderId="14" xfId="0" applyFont="1" applyFill="1" applyBorder="1" applyAlignment="1">
      <alignment horizontal="right" vertical="center"/>
    </xf>
    <xf numFmtId="0" fontId="8" fillId="9" borderId="17" xfId="0" applyFont="1" applyFill="1" applyBorder="1" applyAlignment="1">
      <alignment horizontal="right" vertical="center"/>
    </xf>
    <xf numFmtId="4" fontId="9" fillId="4" borderId="0" xfId="0" applyNumberFormat="1" applyFont="1" applyFill="1" applyAlignment="1">
      <alignment horizontal="left" vertical="center"/>
    </xf>
    <xf numFmtId="49" fontId="8" fillId="9" borderId="31" xfId="0" applyNumberFormat="1" applyFont="1" applyFill="1" applyBorder="1" applyAlignment="1">
      <alignment horizontal="center" vertical="center" wrapText="1"/>
    </xf>
    <xf numFmtId="49" fontId="8" fillId="9" borderId="27" xfId="0" applyNumberFormat="1" applyFont="1" applyFill="1" applyBorder="1" applyAlignment="1">
      <alignment horizontal="center" vertical="center" wrapText="1"/>
    </xf>
    <xf numFmtId="49" fontId="8" fillId="9" borderId="32" xfId="0" applyNumberFormat="1" applyFont="1" applyFill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</cellXfs>
  <cellStyles count="4">
    <cellStyle name="Moeda" xfId="2" builtinId="4"/>
    <cellStyle name="Normal" xfId="0" builtinId="0"/>
    <cellStyle name="Porcentagem" xfId="3" builtinId="5"/>
    <cellStyle name="Separador de milhares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427314</xdr:colOff>
      <xdr:row>0</xdr:row>
      <xdr:rowOff>121227</xdr:rowOff>
    </xdr:from>
    <xdr:to>
      <xdr:col>9</xdr:col>
      <xdr:colOff>1241432</xdr:colOff>
      <xdr:row>6</xdr:row>
      <xdr:rowOff>46557</xdr:rowOff>
    </xdr:to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6950" y="121227"/>
          <a:ext cx="2459346" cy="13107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714375</xdr:colOff>
      <xdr:row>0</xdr:row>
      <xdr:rowOff>134586</xdr:rowOff>
    </xdr:from>
    <xdr:to>
      <xdr:col>17</xdr:col>
      <xdr:colOff>704850</xdr:colOff>
      <xdr:row>5</xdr:row>
      <xdr:rowOff>47625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82475" y="134586"/>
          <a:ext cx="2085975" cy="13417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903564</xdr:colOff>
      <xdr:row>0</xdr:row>
      <xdr:rowOff>149802</xdr:rowOff>
    </xdr:from>
    <xdr:to>
      <xdr:col>7</xdr:col>
      <xdr:colOff>536582</xdr:colOff>
      <xdr:row>4</xdr:row>
      <xdr:rowOff>27507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85489" y="149802"/>
          <a:ext cx="1404668" cy="8778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714375</xdr:colOff>
      <xdr:row>0</xdr:row>
      <xdr:rowOff>134586</xdr:rowOff>
    </xdr:from>
    <xdr:to>
      <xdr:col>16</xdr:col>
      <xdr:colOff>885825</xdr:colOff>
      <xdr:row>4</xdr:row>
      <xdr:rowOff>142875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107150" y="134586"/>
          <a:ext cx="2085975" cy="13417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VOB\01-DIVOB%20-%20Divis&#227;o%20de%20%20Obras\Documentos\Termo%20de%20refer&#234;ncia\vers&#245;es%20finais\2014\restaura&#231;&#227;o%20das%20estruturas%20de%20concreto\Planilhas%20recupera&#231;a&#245;%20das%20estrutura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timativa de preço"/>
      <sheetName val="BDI"/>
      <sheetName val="modelo"/>
      <sheetName val="cronograma"/>
      <sheetName val="composição"/>
      <sheetName val="mo"/>
    </sheetNames>
    <sheetDataSet>
      <sheetData sheetId="0">
        <row r="30">
          <cell r="A30" t="str">
            <v xml:space="preserve">  2.  3</v>
          </cell>
        </row>
        <row r="33">
          <cell r="A33" t="str">
            <v xml:space="preserve">  2.  6</v>
          </cell>
          <cell r="B33" t="str">
            <v>ALIMENTAÇÃO PESSOAL ADMINISTRATIVO E APOIO</v>
          </cell>
        </row>
        <row r="34">
          <cell r="A34" t="str">
            <v xml:space="preserve">  2.  7</v>
          </cell>
          <cell r="B34" t="str">
            <v>EXAMES MEDICOS PESSOAL DE APOIO E ADMINISTRATIVO</v>
          </cell>
        </row>
        <row r="35">
          <cell r="A35" t="str">
            <v xml:space="preserve">  2.  8</v>
          </cell>
          <cell r="B35" t="str">
            <v>TRANSPORTE DE PESSOAL ADMINISTRATIVO E APOIO</v>
          </cell>
        </row>
        <row r="36">
          <cell r="A36" t="str">
            <v xml:space="preserve">  2.  9</v>
          </cell>
          <cell r="B36" t="str">
            <v>SEGUROS DE PESSOAL ADMINISTRATIVO E APOIO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queryTables/queryTable1.xml><?xml version="1.0" encoding="utf-8"?>
<queryTable xmlns="http://schemas.openxmlformats.org/spreadsheetml/2006/main" name="Tabela de material hidráulico 2" connectionId="21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name="Tabela de janela" connectionId="13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name="Tabela de conexões de tubos" connectionId="7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name="Tabela de janela_2" connectionId="18" autoFormatId="16" applyNumberFormats="0" applyBorderFormats="0" applyFontFormats="0" applyPatternFormats="0" applyAlignmentFormats="0" applyWidthHeightFormats="0"/>
</file>

<file path=xl/queryTables/queryTable13.xml><?xml version="1.0" encoding="utf-8"?>
<queryTable xmlns="http://schemas.openxmlformats.org/spreadsheetml/2006/main" name="Tabela de parede_1" connectionId="28" autoFormatId="16" applyNumberFormats="0" applyBorderFormats="0" applyFontFormats="0" applyPatternFormats="0" applyAlignmentFormats="0" applyWidthHeightFormats="0"/>
</file>

<file path=xl/queryTables/queryTable14.xml><?xml version="1.0" encoding="utf-8"?>
<queryTable xmlns="http://schemas.openxmlformats.org/spreadsheetml/2006/main" name="Tabela de piso_2" connectionId="39" autoFormatId="16" applyNumberFormats="0" applyBorderFormats="0" applyFontFormats="0" applyPatternFormats="0" applyAlignmentFormats="0" applyWidthHeightFormats="0"/>
</file>

<file path=xl/queryTables/queryTable15.xml><?xml version="1.0" encoding="utf-8"?>
<queryTable xmlns="http://schemas.openxmlformats.org/spreadsheetml/2006/main" name="Tabela de parede_2" connectionId="32" autoFormatId="16" applyNumberFormats="0" applyBorderFormats="0" applyFontFormats="0" applyPatternFormats="0" applyAlignmentFormats="0" applyWidthHeightFormats="0"/>
</file>

<file path=xl/queryTables/queryTable16.xml><?xml version="1.0" encoding="utf-8"?>
<queryTable xmlns="http://schemas.openxmlformats.org/spreadsheetml/2006/main" name="Tabela de tubos" connectionId="47" autoFormatId="16" applyNumberFormats="0" applyBorderFormats="0" applyFontFormats="0" applyPatternFormats="0" applyAlignmentFormats="0" applyWidthHeightFormats="0"/>
</file>

<file path=xl/queryTables/queryTable17.xml><?xml version="1.0" encoding="utf-8"?>
<queryTable xmlns="http://schemas.openxmlformats.org/spreadsheetml/2006/main" name="Tabela de acessório de tubo_1" connectionId="2" autoFormatId="16" applyNumberFormats="0" applyBorderFormats="0" applyFontFormats="0" applyPatternFormats="0" applyAlignmentFormats="0" applyWidthHeightFormats="0"/>
</file>

<file path=xl/queryTables/queryTable18.xml><?xml version="1.0" encoding="utf-8"?>
<queryTable xmlns="http://schemas.openxmlformats.org/spreadsheetml/2006/main" name="Tabela de conexões de tubos_1" connectionId="7" autoFormatId="16" applyNumberFormats="0" applyBorderFormats="0" applyFontFormats="0" applyPatternFormats="0" applyAlignmentFormats="0" applyWidthHeightFormats="0"/>
</file>

<file path=xl/queryTables/queryTable19.xml><?xml version="1.0" encoding="utf-8"?>
<queryTable xmlns="http://schemas.openxmlformats.org/spreadsheetml/2006/main" name="Tabela de conexões de tubos_2" connectionId="1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Tabela de piso" connectionId="34" autoFormatId="16" applyNumberFormats="0" applyBorderFormats="0" applyFontFormats="0" applyPatternFormats="0" applyAlignmentFormats="0" applyWidthHeightFormats="0"/>
</file>

<file path=xl/queryTables/queryTable20.xml><?xml version="1.0" encoding="utf-8"?>
<queryTable xmlns="http://schemas.openxmlformats.org/spreadsheetml/2006/main" name="Tabela de piso" connectionId="35" autoFormatId="16" applyNumberFormats="0" applyBorderFormats="0" applyFontFormats="0" applyPatternFormats="0" applyAlignmentFormats="0" applyWidthHeightFormats="0"/>
</file>

<file path=xl/queryTables/queryTable21.xml><?xml version="1.0" encoding="utf-8"?>
<queryTable xmlns="http://schemas.openxmlformats.org/spreadsheetml/2006/main" name="Tabela de parede" connectionId="28" autoFormatId="16" applyNumberFormats="0" applyBorderFormats="0" applyFontFormats="0" applyPatternFormats="0" applyAlignmentFormats="0" applyWidthHeightFormats="0"/>
</file>

<file path=xl/queryTables/queryTable22.xml><?xml version="1.0" encoding="utf-8"?>
<queryTable xmlns="http://schemas.openxmlformats.org/spreadsheetml/2006/main" name="Tabela de material hidráulico_1" connectionId="23" autoFormatId="16" applyNumberFormats="0" applyBorderFormats="0" applyFontFormats="0" applyPatternFormats="0" applyAlignmentFormats="0" applyWidthHeightFormats="0"/>
</file>

<file path=xl/queryTables/queryTable23.xml><?xml version="1.0" encoding="utf-8"?>
<queryTable xmlns="http://schemas.openxmlformats.org/spreadsheetml/2006/main" name="Tabela de janela" connectionId="14" autoFormatId="16" applyNumberFormats="0" applyBorderFormats="0" applyFontFormats="0" applyPatternFormats="0" applyAlignmentFormats="0" applyWidthHeightFormats="0"/>
</file>

<file path=xl/queryTables/queryTable24.xml><?xml version="1.0" encoding="utf-8"?>
<queryTable xmlns="http://schemas.openxmlformats.org/spreadsheetml/2006/main" name="Tabela de material hidráulico 2_1" connectionId="22" autoFormatId="16" applyNumberFormats="0" applyBorderFormats="0" applyFontFormats="0" applyPatternFormats="0" applyAlignmentFormats="0" applyWidthHeightFormats="0"/>
</file>

<file path=xl/queryTables/queryTable25.xml><?xml version="1.0" encoding="utf-8"?>
<queryTable xmlns="http://schemas.openxmlformats.org/spreadsheetml/2006/main" name="Tabela de tubos_1" connectionId="47" autoFormatId="16" applyNumberFormats="0" applyBorderFormats="0" applyFontFormats="0" applyPatternFormats="0" applyAlignmentFormats="0" applyWidthHeightFormats="0"/>
</file>

<file path=xl/queryTables/queryTable26.xml><?xml version="1.0" encoding="utf-8"?>
<queryTable xmlns="http://schemas.openxmlformats.org/spreadsheetml/2006/main" name="Tabela de porta_1" connectionId="42" autoFormatId="16" applyNumberFormats="0" applyBorderFormats="0" applyFontFormats="0" applyPatternFormats="0" applyAlignmentFormats="0" applyWidthHeightFormats="0"/>
</file>

<file path=xl/queryTables/queryTable27.xml><?xml version="1.0" encoding="utf-8"?>
<queryTable xmlns="http://schemas.openxmlformats.org/spreadsheetml/2006/main" name="Tabela de material hidráulico" connectionId="23" autoFormatId="16" applyNumberFormats="0" applyBorderFormats="0" applyFontFormats="0" applyPatternFormats="0" applyAlignmentFormats="0" applyWidthHeightFormats="0"/>
</file>

<file path=xl/queryTables/queryTable28.xml><?xml version="1.0" encoding="utf-8"?>
<queryTable xmlns="http://schemas.openxmlformats.org/spreadsheetml/2006/main" name="Tabela de piso_1" connectionId="35" autoFormatId="16" applyNumberFormats="0" applyBorderFormats="0" applyFontFormats="0" applyPatternFormats="0" applyAlignmentFormats="0" applyWidthHeightFormats="0"/>
</file>

<file path=xl/queryTables/queryTable29.xml><?xml version="1.0" encoding="utf-8"?>
<queryTable xmlns="http://schemas.openxmlformats.org/spreadsheetml/2006/main" name="Tabela de porta" connectionId="4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Tabela de tubos" connectionId="46" autoFormatId="16" applyNumberFormats="0" applyBorderFormats="0" applyFontFormats="0" applyPatternFormats="0" applyAlignmentFormats="0" applyWidthHeightFormats="0"/>
</file>

<file path=xl/queryTables/queryTable30.xml><?xml version="1.0" encoding="utf-8"?>
<queryTable xmlns="http://schemas.openxmlformats.org/spreadsheetml/2006/main" name="Tabela de bancadas_1" connectionId="5" autoFormatId="16" applyNumberFormats="0" applyBorderFormats="0" applyFontFormats="0" applyPatternFormats="0" applyAlignmentFormats="0" applyWidthHeightFormats="0"/>
</file>

<file path=xl/queryTables/queryTable31.xml><?xml version="1.0" encoding="utf-8"?>
<queryTable xmlns="http://schemas.openxmlformats.org/spreadsheetml/2006/main" name="Tabela de janela_1" connectionId="14" autoFormatId="16" applyNumberFormats="0" applyBorderFormats="0" applyFontFormats="0" applyPatternFormats="0" applyAlignmentFormats="0" applyWidthHeightFormats="0"/>
</file>

<file path=xl/queryTables/queryTable32.xml><?xml version="1.0" encoding="utf-8"?>
<queryTable xmlns="http://schemas.openxmlformats.org/spreadsheetml/2006/main" name="Tabela de tubos_2" connectionId="51" autoFormatId="16" applyNumberFormats="0" applyBorderFormats="0" applyFontFormats="0" applyPatternFormats="0" applyAlignmentFormats="0" applyWidthHeightFormats="0"/>
</file>

<file path=xl/queryTables/queryTable33.xml><?xml version="1.0" encoding="utf-8"?>
<queryTable xmlns="http://schemas.openxmlformats.org/spreadsheetml/2006/main" name="Tabela de porta" connectionId="45" autoFormatId="16" applyNumberFormats="0" applyBorderFormats="0" applyFontFormats="0" applyPatternFormats="0" applyAlignmentFormats="0" applyWidthHeightFormats="0"/>
</file>

<file path=xl/queryTables/queryTable34.xml><?xml version="1.0" encoding="utf-8"?>
<queryTable xmlns="http://schemas.openxmlformats.org/spreadsheetml/2006/main" name="Tabela de piso" connectionId="38" autoFormatId="16" applyNumberFormats="0" applyBorderFormats="0" applyFontFormats="0" applyPatternFormats="0" applyAlignmentFormats="0" applyWidthHeightFormats="0"/>
</file>

<file path=xl/queryTables/queryTable35.xml><?xml version="1.0" encoding="utf-8"?>
<queryTable xmlns="http://schemas.openxmlformats.org/spreadsheetml/2006/main" name="Tabela de material hidráulico" connectionId="26" autoFormatId="16" applyNumberFormats="0" applyBorderFormats="0" applyFontFormats="0" applyPatternFormats="0" applyAlignmentFormats="0" applyWidthHeightFormats="0"/>
</file>

<file path=xl/queryTables/queryTable36.xml><?xml version="1.0" encoding="utf-8"?>
<queryTable xmlns="http://schemas.openxmlformats.org/spreadsheetml/2006/main" name="Tabela de conexões de tubos" connectionId="10" autoFormatId="16" applyNumberFormats="0" applyBorderFormats="0" applyFontFormats="0" applyPatternFormats="0" applyAlignmentFormats="0" applyWidthHeightFormats="0"/>
</file>

<file path=xl/queryTables/queryTable37.xml><?xml version="1.0" encoding="utf-8"?>
<queryTable xmlns="http://schemas.openxmlformats.org/spreadsheetml/2006/main" name="Tabela de janela" connectionId="17" autoFormatId="16" applyNumberFormats="0" applyBorderFormats="0" applyFontFormats="0" applyPatternFormats="0" applyAlignmentFormats="0" applyWidthHeightFormats="0"/>
</file>

<file path=xl/queryTables/queryTable38.xml><?xml version="1.0" encoding="utf-8"?>
<queryTable xmlns="http://schemas.openxmlformats.org/spreadsheetml/2006/main" name="Tabela de parede" connectionId="31" autoFormatId="16" applyNumberFormats="0" applyBorderFormats="0" applyFontFormats="0" applyPatternFormats="0" applyAlignmentFormats="0" applyWidthHeightFormats="0"/>
</file>

<file path=xl/queryTables/queryTable39.xml><?xml version="1.0" encoding="utf-8"?>
<queryTable xmlns="http://schemas.openxmlformats.org/spreadsheetml/2006/main" name="Tabela de tubos" connectionId="50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Tabela de material hidráulico" connectionId="20" autoFormatId="16" applyNumberFormats="0" applyBorderFormats="0" applyFontFormats="0" applyPatternFormats="0" applyAlignmentFormats="0" applyWidthHeightFormats="0"/>
</file>

<file path=xl/queryTables/queryTable40.xml><?xml version="1.0" encoding="utf-8"?>
<queryTable xmlns="http://schemas.openxmlformats.org/spreadsheetml/2006/main" name="Tabela de parede" connectionId="30" autoFormatId="16" applyNumberFormats="0" applyBorderFormats="0" applyFontFormats="0" applyPatternFormats="0" applyAlignmentFormats="0" applyWidthHeightFormats="0"/>
</file>

<file path=xl/queryTables/queryTable41.xml><?xml version="1.0" encoding="utf-8"?>
<queryTable xmlns="http://schemas.openxmlformats.org/spreadsheetml/2006/main" name="Tabela de janela_2" connectionId="19" autoFormatId="16" applyNumberFormats="0" applyBorderFormats="0" applyFontFormats="0" applyPatternFormats="0" applyAlignmentFormats="0" applyWidthHeightFormats="0"/>
</file>

<file path=xl/queryTables/queryTable42.xml><?xml version="1.0" encoding="utf-8"?>
<queryTable xmlns="http://schemas.openxmlformats.org/spreadsheetml/2006/main" name="Tabela de piso_2" connectionId="40" autoFormatId="16" applyNumberFormats="0" applyBorderFormats="0" applyFontFormats="0" applyPatternFormats="0" applyAlignmentFormats="0" applyWidthHeightFormats="0"/>
</file>

<file path=xl/queryTables/queryTable43.xml><?xml version="1.0" encoding="utf-8"?>
<queryTable xmlns="http://schemas.openxmlformats.org/spreadsheetml/2006/main" name="Tabela de conexões de tubos" connectionId="9" autoFormatId="16" applyNumberFormats="0" applyBorderFormats="0" applyFontFormats="0" applyPatternFormats="0" applyAlignmentFormats="0" applyWidthHeightFormats="0"/>
</file>

<file path=xl/queryTables/queryTable44.xml><?xml version="1.0" encoding="utf-8"?>
<queryTable xmlns="http://schemas.openxmlformats.org/spreadsheetml/2006/main" name="Tabela de material hidráulico" connectionId="25" autoFormatId="16" applyNumberFormats="0" applyBorderFormats="0" applyFontFormats="0" applyPatternFormats="0" applyAlignmentFormats="0" applyWidthHeightFormats="0"/>
</file>

<file path=xl/queryTables/queryTable45.xml><?xml version="1.0" encoding="utf-8"?>
<queryTable xmlns="http://schemas.openxmlformats.org/spreadsheetml/2006/main" name="Tabela de tubos_1" connectionId="48" autoFormatId="16" applyNumberFormats="0" applyBorderFormats="0" applyFontFormats="0" applyPatternFormats="0" applyAlignmentFormats="0" applyWidthHeightFormats="0"/>
</file>

<file path=xl/queryTables/queryTable46.xml><?xml version="1.0" encoding="utf-8"?>
<queryTable xmlns="http://schemas.openxmlformats.org/spreadsheetml/2006/main" name="Tabela de piso_1" connectionId="37" autoFormatId="16" applyNumberFormats="0" applyBorderFormats="0" applyFontFormats="0" applyPatternFormats="0" applyAlignmentFormats="0" applyWidthHeightFormats="0"/>
</file>

<file path=xl/queryTables/queryTable47.xml><?xml version="1.0" encoding="utf-8"?>
<queryTable xmlns="http://schemas.openxmlformats.org/spreadsheetml/2006/main" name="Tabela de conexões de tubos_2" connectionId="12" autoFormatId="16" applyNumberFormats="0" applyBorderFormats="0" applyFontFormats="0" applyPatternFormats="0" applyAlignmentFormats="0" applyWidthHeightFormats="0"/>
</file>

<file path=xl/queryTables/queryTable48.xml><?xml version="1.0" encoding="utf-8"?>
<queryTable xmlns="http://schemas.openxmlformats.org/spreadsheetml/2006/main" name="Tabela de parede_1" connectionId="29" autoFormatId="16" applyNumberFormats="0" applyBorderFormats="0" applyFontFormats="0" applyPatternFormats="0" applyAlignmentFormats="0" applyWidthHeightFormats="0"/>
</file>

<file path=xl/queryTables/queryTable49.xml><?xml version="1.0" encoding="utf-8"?>
<queryTable xmlns="http://schemas.openxmlformats.org/spreadsheetml/2006/main" name="Tabela de piso" connectionId="36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Tabela de acessório de tubo" connectionId="1" autoFormatId="16" applyNumberFormats="0" applyBorderFormats="0" applyFontFormats="0" applyPatternFormats="0" applyAlignmentFormats="0" applyWidthHeightFormats="0"/>
</file>

<file path=xl/queryTables/queryTable50.xml><?xml version="1.0" encoding="utf-8"?>
<queryTable xmlns="http://schemas.openxmlformats.org/spreadsheetml/2006/main" name="Tabela de bancadas_1" connectionId="5" autoFormatId="16" applyNumberFormats="0" applyBorderFormats="0" applyFontFormats="0" applyPatternFormats="0" applyAlignmentFormats="0" applyWidthHeightFormats="0"/>
</file>

<file path=xl/queryTables/queryTable51.xml><?xml version="1.0" encoding="utf-8"?>
<queryTable xmlns="http://schemas.openxmlformats.org/spreadsheetml/2006/main" name="Tabela de porta_1" connectionId="43" autoFormatId="16" applyNumberFormats="0" applyBorderFormats="0" applyFontFormats="0" applyPatternFormats="0" applyAlignmentFormats="0" applyWidthHeightFormats="0"/>
</file>

<file path=xl/queryTables/queryTable52.xml><?xml version="1.0" encoding="utf-8"?>
<queryTable xmlns="http://schemas.openxmlformats.org/spreadsheetml/2006/main" name="Tabela de tubos_2" connectionId="52" autoFormatId="16" applyNumberFormats="0" applyBorderFormats="0" applyFontFormats="0" applyPatternFormats="0" applyAlignmentFormats="0" applyWidthHeightFormats="0"/>
</file>

<file path=xl/queryTables/queryTable53.xml><?xml version="1.0" encoding="utf-8"?>
<queryTable xmlns="http://schemas.openxmlformats.org/spreadsheetml/2006/main" name="Tabela de material hidráulico_1" connectionId="24" autoFormatId="16" applyNumberFormats="0" applyBorderFormats="0" applyFontFormats="0" applyPatternFormats="0" applyAlignmentFormats="0" applyWidthHeightFormats="0"/>
</file>

<file path=xl/queryTables/queryTable54.xml><?xml version="1.0" encoding="utf-8"?>
<queryTable xmlns="http://schemas.openxmlformats.org/spreadsheetml/2006/main" name="Tabela de parede_2" connectionId="33" autoFormatId="16" applyNumberFormats="0" applyBorderFormats="0" applyFontFormats="0" applyPatternFormats="0" applyAlignmentFormats="0" applyWidthHeightFormats="0"/>
</file>

<file path=xl/queryTables/queryTable55.xml><?xml version="1.0" encoding="utf-8"?>
<queryTable xmlns="http://schemas.openxmlformats.org/spreadsheetml/2006/main" name="Tabela de acessório de tubo_1" connectionId="3" autoFormatId="16" applyNumberFormats="0" applyBorderFormats="0" applyFontFormats="0" applyPatternFormats="0" applyAlignmentFormats="0" applyWidthHeightFormats="0"/>
</file>

<file path=xl/queryTables/queryTable56.xml><?xml version="1.0" encoding="utf-8"?>
<queryTable xmlns="http://schemas.openxmlformats.org/spreadsheetml/2006/main" name="Tabela de janela" connectionId="16" autoFormatId="16" applyNumberFormats="0" applyBorderFormats="0" applyFontFormats="0" applyPatternFormats="0" applyAlignmentFormats="0" applyWidthHeightFormats="0"/>
</file>

<file path=xl/queryTables/queryTable57.xml><?xml version="1.0" encoding="utf-8"?>
<queryTable xmlns="http://schemas.openxmlformats.org/spreadsheetml/2006/main" name="Tabela de material hidráulico 2_1" connectionId="22" autoFormatId="16" applyNumberFormats="0" applyBorderFormats="0" applyFontFormats="0" applyPatternFormats="0" applyAlignmentFormats="0" applyWidthHeightFormats="0"/>
</file>

<file path=xl/queryTables/queryTable58.xml><?xml version="1.0" encoding="utf-8"?>
<queryTable xmlns="http://schemas.openxmlformats.org/spreadsheetml/2006/main" name="Tabela de janela_1" connectionId="15" autoFormatId="16" applyNumberFormats="0" applyBorderFormats="0" applyFontFormats="0" applyPatternFormats="0" applyAlignmentFormats="0" applyWidthHeightFormats="0"/>
</file>

<file path=xl/queryTables/queryTable59.xml><?xml version="1.0" encoding="utf-8"?>
<queryTable xmlns="http://schemas.openxmlformats.org/spreadsheetml/2006/main" name="Tabela de tubos" connectionId="49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Tabela de parede" connectionId="27" autoFormatId="16" applyNumberFormats="0" applyBorderFormats="0" applyFontFormats="0" applyPatternFormats="0" applyAlignmentFormats="0" applyWidthHeightFormats="0"/>
</file>

<file path=xl/queryTables/queryTable60.xml><?xml version="1.0" encoding="utf-8"?>
<queryTable xmlns="http://schemas.openxmlformats.org/spreadsheetml/2006/main" name="Tabela de porta" connectionId="44" autoFormatId="16" applyNumberFormats="0" applyBorderFormats="0" applyFontFormats="0" applyPatternFormats="0" applyAlignmentFormats="0" applyWidthHeightFormats="0"/>
</file>

<file path=xl/queryTables/queryTable61.xml><?xml version="1.0" encoding="utf-8"?>
<queryTable xmlns="http://schemas.openxmlformats.org/spreadsheetml/2006/main" name="Tabela de conexões de tubos_1" connectionId="8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Tabela de conexões de tubos" connectionId="6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name="Tabela de porta" connectionId="41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name="Tabela de bancadas" connectionId="4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6.xml"/><Relationship Id="rId3" Type="http://schemas.openxmlformats.org/officeDocument/2006/relationships/queryTable" Target="../queryTables/queryTable1.xml"/><Relationship Id="rId7" Type="http://schemas.openxmlformats.org/officeDocument/2006/relationships/queryTable" Target="../queryTables/queryTable5.xml"/><Relationship Id="rId12" Type="http://schemas.openxmlformats.org/officeDocument/2006/relationships/queryTable" Target="../queryTables/query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4.xml"/><Relationship Id="rId11" Type="http://schemas.openxmlformats.org/officeDocument/2006/relationships/queryTable" Target="../queryTables/queryTable9.xml"/><Relationship Id="rId5" Type="http://schemas.openxmlformats.org/officeDocument/2006/relationships/queryTable" Target="../queryTables/queryTable3.xml"/><Relationship Id="rId10" Type="http://schemas.openxmlformats.org/officeDocument/2006/relationships/queryTable" Target="../queryTables/queryTable8.xml"/><Relationship Id="rId4" Type="http://schemas.openxmlformats.org/officeDocument/2006/relationships/queryTable" Target="../queryTables/queryTable2.xml"/><Relationship Id="rId9" Type="http://schemas.openxmlformats.org/officeDocument/2006/relationships/queryTable" Target="../queryTables/queryTable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" Type="http://schemas.openxmlformats.org/officeDocument/2006/relationships/drawing" Target="../drawings/drawing2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39.xml"/><Relationship Id="rId3" Type="http://schemas.openxmlformats.org/officeDocument/2006/relationships/queryTable" Target="../queryTables/queryTable34.xml"/><Relationship Id="rId7" Type="http://schemas.openxmlformats.org/officeDocument/2006/relationships/queryTable" Target="../queryTables/queryTable38.xml"/><Relationship Id="rId2" Type="http://schemas.openxmlformats.org/officeDocument/2006/relationships/queryTable" Target="../queryTables/queryTable33.xml"/><Relationship Id="rId1" Type="http://schemas.openxmlformats.org/officeDocument/2006/relationships/drawing" Target="../drawings/drawing3.xml"/><Relationship Id="rId6" Type="http://schemas.openxmlformats.org/officeDocument/2006/relationships/queryTable" Target="../queryTables/queryTable37.xml"/><Relationship Id="rId5" Type="http://schemas.openxmlformats.org/officeDocument/2006/relationships/queryTable" Target="../queryTables/queryTable36.xml"/><Relationship Id="rId4" Type="http://schemas.openxmlformats.org/officeDocument/2006/relationships/queryTable" Target="../queryTables/queryTable35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6.xml"/><Relationship Id="rId13" Type="http://schemas.openxmlformats.org/officeDocument/2006/relationships/queryTable" Target="../queryTables/queryTable51.xml"/><Relationship Id="rId18" Type="http://schemas.openxmlformats.org/officeDocument/2006/relationships/queryTable" Target="../queryTables/queryTable56.xml"/><Relationship Id="rId3" Type="http://schemas.openxmlformats.org/officeDocument/2006/relationships/queryTable" Target="../queryTables/queryTable41.xml"/><Relationship Id="rId21" Type="http://schemas.openxmlformats.org/officeDocument/2006/relationships/queryTable" Target="../queryTables/queryTable59.xml"/><Relationship Id="rId7" Type="http://schemas.openxmlformats.org/officeDocument/2006/relationships/queryTable" Target="../queryTables/queryTable45.xml"/><Relationship Id="rId12" Type="http://schemas.openxmlformats.org/officeDocument/2006/relationships/queryTable" Target="../queryTables/queryTable50.xml"/><Relationship Id="rId17" Type="http://schemas.openxmlformats.org/officeDocument/2006/relationships/queryTable" Target="../queryTables/queryTable55.xml"/><Relationship Id="rId2" Type="http://schemas.openxmlformats.org/officeDocument/2006/relationships/queryTable" Target="../queryTables/queryTable40.xml"/><Relationship Id="rId16" Type="http://schemas.openxmlformats.org/officeDocument/2006/relationships/queryTable" Target="../queryTables/queryTable54.xml"/><Relationship Id="rId20" Type="http://schemas.openxmlformats.org/officeDocument/2006/relationships/queryTable" Target="../queryTables/queryTable58.xml"/><Relationship Id="rId1" Type="http://schemas.openxmlformats.org/officeDocument/2006/relationships/drawing" Target="../drawings/drawing4.xml"/><Relationship Id="rId6" Type="http://schemas.openxmlformats.org/officeDocument/2006/relationships/queryTable" Target="../queryTables/queryTable44.xml"/><Relationship Id="rId11" Type="http://schemas.openxmlformats.org/officeDocument/2006/relationships/queryTable" Target="../queryTables/queryTable49.xml"/><Relationship Id="rId5" Type="http://schemas.openxmlformats.org/officeDocument/2006/relationships/queryTable" Target="../queryTables/queryTable43.xml"/><Relationship Id="rId15" Type="http://schemas.openxmlformats.org/officeDocument/2006/relationships/queryTable" Target="../queryTables/queryTable53.xml"/><Relationship Id="rId23" Type="http://schemas.openxmlformats.org/officeDocument/2006/relationships/queryTable" Target="../queryTables/queryTable61.xml"/><Relationship Id="rId10" Type="http://schemas.openxmlformats.org/officeDocument/2006/relationships/queryTable" Target="../queryTables/queryTable48.xml"/><Relationship Id="rId19" Type="http://schemas.openxmlformats.org/officeDocument/2006/relationships/queryTable" Target="../queryTables/queryTable57.xml"/><Relationship Id="rId4" Type="http://schemas.openxmlformats.org/officeDocument/2006/relationships/queryTable" Target="../queryTables/queryTable42.xml"/><Relationship Id="rId9" Type="http://schemas.openxmlformats.org/officeDocument/2006/relationships/queryTable" Target="../queryTables/queryTable47.xml"/><Relationship Id="rId14" Type="http://schemas.openxmlformats.org/officeDocument/2006/relationships/queryTable" Target="../queryTables/queryTable52.xml"/><Relationship Id="rId22" Type="http://schemas.openxmlformats.org/officeDocument/2006/relationships/queryTable" Target="../queryTables/queryTable60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2"/>
  <sheetViews>
    <sheetView view="pageBreakPreview" zoomScale="110" zoomScaleNormal="100" zoomScaleSheetLayoutView="110" workbookViewId="0">
      <pane ySplit="8" topLeftCell="A9" activePane="bottomLeft" state="frozen"/>
      <selection pane="bottomLeft" activeCell="G124" sqref="G124"/>
    </sheetView>
  </sheetViews>
  <sheetFormatPr defaultRowHeight="15"/>
  <cols>
    <col min="1" max="1" width="15.7109375" style="3" bestFit="1" customWidth="1"/>
    <col min="2" max="2" width="65.42578125" style="1" customWidth="1"/>
    <col min="3" max="3" width="15.85546875" style="4" bestFit="1" customWidth="1"/>
    <col min="4" max="4" width="7.42578125" style="3" bestFit="1" customWidth="1"/>
    <col min="5" max="5" width="12.28515625" customWidth="1"/>
    <col min="6" max="6" width="14.28515625" bestFit="1" customWidth="1"/>
    <col min="7" max="9" width="12.28515625" customWidth="1"/>
    <col min="10" max="10" width="24.140625" customWidth="1"/>
    <col min="11" max="11" width="15.7109375" style="73" customWidth="1"/>
    <col min="12" max="61" width="15.7109375" customWidth="1"/>
  </cols>
  <sheetData>
    <row r="1" spans="1:15" s="127" customFormat="1">
      <c r="A1" s="201"/>
      <c r="B1" s="202"/>
      <c r="C1" s="203"/>
      <c r="D1" s="204"/>
      <c r="E1" s="205"/>
      <c r="F1" s="205"/>
      <c r="G1" s="205"/>
      <c r="H1" s="205"/>
      <c r="I1" s="205"/>
      <c r="J1" s="207"/>
      <c r="K1" s="73"/>
    </row>
    <row r="2" spans="1:15" ht="30" customHeight="1">
      <c r="A2" s="299" t="s">
        <v>445</v>
      </c>
      <c r="B2" s="299"/>
      <c r="C2" s="299"/>
      <c r="D2" s="299"/>
      <c r="E2" s="299"/>
      <c r="F2" s="299"/>
      <c r="G2" s="299"/>
      <c r="H2" s="299"/>
      <c r="I2" s="299"/>
      <c r="J2" s="299"/>
      <c r="K2"/>
    </row>
    <row r="3" spans="1:15">
      <c r="A3" s="218"/>
      <c r="B3" s="108"/>
      <c r="C3" s="110"/>
      <c r="D3" s="109"/>
      <c r="E3" s="77"/>
      <c r="F3" s="77"/>
      <c r="G3" s="77"/>
      <c r="H3" s="77"/>
      <c r="I3" s="77"/>
      <c r="J3" s="209"/>
    </row>
    <row r="4" spans="1:15" ht="18.75">
      <c r="A4" s="208" t="s">
        <v>444</v>
      </c>
      <c r="B4" s="222" t="s">
        <v>443</v>
      </c>
      <c r="C4" s="110"/>
      <c r="D4" s="109"/>
      <c r="E4" s="77"/>
      <c r="F4" s="77"/>
      <c r="G4" s="77"/>
      <c r="H4" s="77"/>
      <c r="I4" s="77"/>
      <c r="J4" s="209"/>
    </row>
    <row r="5" spans="1:15">
      <c r="A5" s="208" t="s">
        <v>161</v>
      </c>
      <c r="B5" s="210">
        <v>42405</v>
      </c>
      <c r="C5" s="110"/>
      <c r="D5" s="109"/>
      <c r="E5" s="77"/>
      <c r="F5" s="77"/>
      <c r="G5" s="77"/>
      <c r="H5" s="77"/>
      <c r="I5" s="77"/>
      <c r="J5" s="209"/>
    </row>
    <row r="6" spans="1:15">
      <c r="A6" s="208" t="s">
        <v>169</v>
      </c>
      <c r="B6" s="211" t="s">
        <v>439</v>
      </c>
      <c r="C6" s="110"/>
      <c r="D6" s="109"/>
      <c r="E6" s="77"/>
      <c r="F6" s="77"/>
      <c r="G6" s="77"/>
      <c r="H6" s="77"/>
      <c r="I6" s="77"/>
      <c r="J6" s="209"/>
    </row>
    <row r="7" spans="1:15">
      <c r="A7" s="208" t="s">
        <v>162</v>
      </c>
      <c r="B7" s="108" t="s">
        <v>163</v>
      </c>
      <c r="C7" s="110"/>
      <c r="D7" s="109"/>
      <c r="E7" s="77"/>
      <c r="F7" s="77"/>
      <c r="G7" s="77"/>
      <c r="H7" s="77"/>
      <c r="I7" s="77"/>
      <c r="J7" s="209"/>
    </row>
    <row r="8" spans="1:15" ht="45">
      <c r="A8" s="27" t="s">
        <v>6</v>
      </c>
      <c r="B8" s="28" t="s">
        <v>7</v>
      </c>
      <c r="C8" s="28" t="s">
        <v>90</v>
      </c>
      <c r="D8" s="29" t="s">
        <v>8</v>
      </c>
      <c r="E8" s="29" t="s">
        <v>9</v>
      </c>
      <c r="F8" s="28" t="s">
        <v>173</v>
      </c>
      <c r="G8" s="28" t="s">
        <v>164</v>
      </c>
      <c r="H8" s="28" t="s">
        <v>111</v>
      </c>
      <c r="I8" s="28" t="s">
        <v>165</v>
      </c>
      <c r="J8" s="30" t="s">
        <v>10</v>
      </c>
    </row>
    <row r="9" spans="1:15" s="127" customFormat="1">
      <c r="A9" s="31">
        <v>1</v>
      </c>
      <c r="B9" s="32" t="s">
        <v>305</v>
      </c>
      <c r="C9" s="33"/>
      <c r="D9" s="34"/>
      <c r="E9" s="35"/>
      <c r="F9" s="35"/>
      <c r="G9" s="35"/>
      <c r="H9" s="36"/>
      <c r="I9" s="37">
        <f>SUM(I11:I16)</f>
        <v>54357.600000000006</v>
      </c>
      <c r="J9" s="38"/>
      <c r="K9" s="133">
        <f>I9/I$138</f>
        <v>0.22550012458465205</v>
      </c>
    </row>
    <row r="10" spans="1:15" s="73" customFormat="1">
      <c r="A10" s="114"/>
      <c r="B10" s="107" t="s">
        <v>280</v>
      </c>
      <c r="C10" s="5"/>
      <c r="D10" s="116"/>
      <c r="E10" s="6" t="s">
        <v>257</v>
      </c>
      <c r="F10" s="117"/>
      <c r="G10" s="124"/>
      <c r="H10" s="119"/>
      <c r="I10" s="117"/>
      <c r="J10" s="118"/>
      <c r="L10" s="75"/>
      <c r="M10" s="75"/>
    </row>
    <row r="11" spans="1:15" s="73" customFormat="1">
      <c r="A11" s="114"/>
      <c r="B11" s="107" t="s">
        <v>306</v>
      </c>
      <c r="C11" s="5"/>
      <c r="D11" s="116"/>
      <c r="E11" s="6"/>
      <c r="F11" s="117"/>
      <c r="G11" s="124"/>
      <c r="H11" s="117"/>
      <c r="I11" s="117"/>
      <c r="J11" s="118"/>
      <c r="L11" s="78"/>
      <c r="M11" s="75"/>
      <c r="O11" s="74"/>
    </row>
    <row r="12" spans="1:15">
      <c r="A12" s="114" t="s">
        <v>457</v>
      </c>
      <c r="B12" s="115" t="s">
        <v>279</v>
      </c>
      <c r="C12" s="5"/>
      <c r="D12" s="116" t="s">
        <v>258</v>
      </c>
      <c r="E12" s="6">
        <f>220*4*1</f>
        <v>880</v>
      </c>
      <c r="F12" s="117">
        <v>11.72</v>
      </c>
      <c r="G12" s="124">
        <f>BDI!$B$23</f>
        <v>0.24873184530590153</v>
      </c>
      <c r="H12" s="117">
        <f t="shared" ref="H12:H20" si="0">TRUNC(F12*(1+G12),2)</f>
        <v>14.63</v>
      </c>
      <c r="I12" s="117">
        <f t="shared" ref="I12:I20" si="1">TRUNC(E12*H12,2)</f>
        <v>12874.4</v>
      </c>
      <c r="J12" s="118" t="s">
        <v>259</v>
      </c>
      <c r="L12" s="76"/>
      <c r="M12" s="77"/>
      <c r="O12" s="74"/>
    </row>
    <row r="13" spans="1:15">
      <c r="A13" s="114" t="s">
        <v>311</v>
      </c>
      <c r="B13" s="115" t="s">
        <v>260</v>
      </c>
      <c r="C13" s="5"/>
      <c r="D13" s="116" t="s">
        <v>258</v>
      </c>
      <c r="E13" s="6">
        <f>220*4*1</f>
        <v>880</v>
      </c>
      <c r="F13" s="117">
        <v>19.32</v>
      </c>
      <c r="G13" s="124">
        <f>BDI!$B$23</f>
        <v>0.24873184530590153</v>
      </c>
      <c r="H13" s="117">
        <f t="shared" si="0"/>
        <v>24.12</v>
      </c>
      <c r="I13" s="117">
        <f t="shared" si="1"/>
        <v>21225.599999999999</v>
      </c>
      <c r="J13" s="118" t="s">
        <v>438</v>
      </c>
      <c r="L13" s="76"/>
      <c r="M13" s="77"/>
      <c r="O13" s="74"/>
    </row>
    <row r="14" spans="1:15" s="73" customFormat="1">
      <c r="A14" s="114"/>
      <c r="B14" s="107" t="s">
        <v>261</v>
      </c>
      <c r="C14" s="5"/>
      <c r="D14" s="116"/>
      <c r="E14" s="6"/>
      <c r="F14" s="117"/>
      <c r="G14" s="124"/>
      <c r="H14" s="117"/>
      <c r="I14" s="117"/>
      <c r="J14" s="118"/>
      <c r="L14" s="78"/>
      <c r="M14" s="75"/>
      <c r="O14" s="74"/>
    </row>
    <row r="15" spans="1:15">
      <c r="A15" s="114" t="s">
        <v>458</v>
      </c>
      <c r="B15" s="115" t="s">
        <v>436</v>
      </c>
      <c r="C15" s="5"/>
      <c r="D15" s="116" t="s">
        <v>258</v>
      </c>
      <c r="E15" s="6">
        <v>880</v>
      </c>
      <c r="F15" s="117">
        <v>10.84</v>
      </c>
      <c r="G15" s="124">
        <f>BDI!$B$23</f>
        <v>0.24873184530590153</v>
      </c>
      <c r="H15" s="117">
        <f t="shared" si="0"/>
        <v>13.53</v>
      </c>
      <c r="I15" s="117">
        <f t="shared" si="1"/>
        <v>11906.4</v>
      </c>
      <c r="J15" s="118" t="s">
        <v>262</v>
      </c>
      <c r="L15" s="76"/>
      <c r="M15" s="77"/>
      <c r="O15" s="74"/>
    </row>
    <row r="16" spans="1:15">
      <c r="A16" s="114" t="s">
        <v>312</v>
      </c>
      <c r="B16" s="115" t="s">
        <v>437</v>
      </c>
      <c r="C16" s="5"/>
      <c r="D16" s="116" t="s">
        <v>258</v>
      </c>
      <c r="E16" s="6">
        <v>880</v>
      </c>
      <c r="F16" s="117">
        <v>7.6</v>
      </c>
      <c r="G16" s="124">
        <f>BDI!$B$23</f>
        <v>0.24873184530590153</v>
      </c>
      <c r="H16" s="117">
        <f t="shared" si="0"/>
        <v>9.49</v>
      </c>
      <c r="I16" s="117">
        <f t="shared" si="1"/>
        <v>8351.2000000000007</v>
      </c>
      <c r="J16" s="118" t="s">
        <v>263</v>
      </c>
      <c r="L16" s="76"/>
      <c r="M16" s="77"/>
      <c r="O16" s="74"/>
    </row>
    <row r="17" spans="1:15" s="73" customFormat="1">
      <c r="A17" s="114"/>
      <c r="B17" s="115"/>
      <c r="C17" s="5"/>
      <c r="D17" s="116"/>
      <c r="E17" s="6"/>
      <c r="F17" s="117"/>
      <c r="G17" s="124"/>
      <c r="H17" s="117"/>
      <c r="I17" s="117"/>
      <c r="J17" s="118"/>
      <c r="L17" s="78"/>
      <c r="M17" s="75"/>
      <c r="O17" s="74"/>
    </row>
    <row r="18" spans="1:15" s="127" customFormat="1">
      <c r="A18" s="31">
        <v>2</v>
      </c>
      <c r="B18" s="32" t="s">
        <v>264</v>
      </c>
      <c r="C18" s="33"/>
      <c r="D18" s="34"/>
      <c r="E18" s="35"/>
      <c r="F18" s="35"/>
      <c r="G18" s="35"/>
      <c r="H18" s="36"/>
      <c r="I18" s="37">
        <f>SUM(I19:I24)</f>
        <v>14690.34</v>
      </c>
      <c r="J18" s="38"/>
      <c r="K18" s="133">
        <f>I18/I$138</f>
        <v>6.0942232552410276E-2</v>
      </c>
    </row>
    <row r="19" spans="1:15">
      <c r="A19" s="114" t="s">
        <v>265</v>
      </c>
      <c r="B19" s="115" t="s">
        <v>266</v>
      </c>
      <c r="C19" s="5"/>
      <c r="D19" s="116" t="s">
        <v>267</v>
      </c>
      <c r="E19" s="6">
        <v>1</v>
      </c>
      <c r="F19" s="117">
        <v>63.5</v>
      </c>
      <c r="G19" s="124">
        <f>BDI!$B$23</f>
        <v>0.24873184530590153</v>
      </c>
      <c r="H19" s="117">
        <f t="shared" si="0"/>
        <v>79.290000000000006</v>
      </c>
      <c r="I19" s="117">
        <f t="shared" si="1"/>
        <v>79.290000000000006</v>
      </c>
      <c r="J19" s="118" t="s">
        <v>268</v>
      </c>
      <c r="L19" s="79"/>
      <c r="M19" s="77"/>
    </row>
    <row r="20" spans="1:15">
      <c r="A20" s="114" t="s">
        <v>313</v>
      </c>
      <c r="B20" s="115" t="s">
        <v>378</v>
      </c>
      <c r="C20" s="5"/>
      <c r="D20" s="116" t="s">
        <v>377</v>
      </c>
      <c r="E20" s="6">
        <v>1</v>
      </c>
      <c r="F20" s="126">
        <f>COMPOSIÇÕES!H6</f>
        <v>753.6400000000001</v>
      </c>
      <c r="G20" s="124">
        <f>BDI!$B$23</f>
        <v>0.24873184530590153</v>
      </c>
      <c r="H20" s="117">
        <f t="shared" si="0"/>
        <v>941.09</v>
      </c>
      <c r="I20" s="117">
        <f t="shared" si="1"/>
        <v>941.09</v>
      </c>
      <c r="J20" s="118" t="s">
        <v>270</v>
      </c>
    </row>
    <row r="21" spans="1:15">
      <c r="A21" s="114" t="s">
        <v>271</v>
      </c>
      <c r="B21" s="115" t="s">
        <v>275</v>
      </c>
      <c r="C21" s="5"/>
      <c r="D21" s="116" t="s">
        <v>269</v>
      </c>
      <c r="E21" s="6">
        <v>4</v>
      </c>
      <c r="F21" s="126">
        <f>COMPOSIÇÕES!H15</f>
        <v>1760</v>
      </c>
      <c r="G21" s="124">
        <f>BDI!$B$23</f>
        <v>0.24873184530590153</v>
      </c>
      <c r="H21" s="117">
        <f t="shared" ref="H21:H24" si="2">TRUNC(F21*(1+G21),2)</f>
        <v>2197.7600000000002</v>
      </c>
      <c r="I21" s="117">
        <f t="shared" ref="I21:I24" si="3">TRUNC(E21*H21,2)</f>
        <v>8791.0400000000009</v>
      </c>
      <c r="J21" s="118" t="s">
        <v>270</v>
      </c>
    </row>
    <row r="22" spans="1:15">
      <c r="A22" s="114" t="s">
        <v>272</v>
      </c>
      <c r="B22" s="115" t="s">
        <v>276</v>
      </c>
      <c r="C22" s="5"/>
      <c r="D22" s="116" t="s">
        <v>269</v>
      </c>
      <c r="E22" s="6">
        <v>4</v>
      </c>
      <c r="F22" s="126">
        <f>COMPOSIÇÕES!H17</f>
        <v>158.4</v>
      </c>
      <c r="G22" s="124">
        <f>BDI!$B$23</f>
        <v>0.24873184530590153</v>
      </c>
      <c r="H22" s="117">
        <f t="shared" si="2"/>
        <v>197.79</v>
      </c>
      <c r="I22" s="117">
        <f t="shared" si="3"/>
        <v>791.16</v>
      </c>
      <c r="J22" s="118" t="s">
        <v>270</v>
      </c>
    </row>
    <row r="23" spans="1:15">
      <c r="A23" s="114" t="s">
        <v>273</v>
      </c>
      <c r="B23" s="115" t="s">
        <v>277</v>
      </c>
      <c r="C23" s="5"/>
      <c r="D23" s="116" t="s">
        <v>269</v>
      </c>
      <c r="E23" s="6">
        <v>4</v>
      </c>
      <c r="F23" s="126">
        <f>COMPOSIÇÕES!H19</f>
        <v>712.80000000000007</v>
      </c>
      <c r="G23" s="124">
        <f>BDI!$B$23</f>
        <v>0.24873184530590153</v>
      </c>
      <c r="H23" s="117">
        <f t="shared" si="2"/>
        <v>890.09</v>
      </c>
      <c r="I23" s="117">
        <f t="shared" si="3"/>
        <v>3560.36</v>
      </c>
      <c r="J23" s="118" t="s">
        <v>270</v>
      </c>
    </row>
    <row r="24" spans="1:15">
      <c r="A24" s="114" t="s">
        <v>274</v>
      </c>
      <c r="B24" s="115" t="s">
        <v>278</v>
      </c>
      <c r="C24" s="5"/>
      <c r="D24" s="116" t="s">
        <v>269</v>
      </c>
      <c r="E24" s="6">
        <v>12</v>
      </c>
      <c r="F24" s="126">
        <f>COMPOSIÇÕES!H21</f>
        <v>35.200000000000003</v>
      </c>
      <c r="G24" s="124">
        <f>BDI!$B$23</f>
        <v>0.24873184530590153</v>
      </c>
      <c r="H24" s="117">
        <f t="shared" si="2"/>
        <v>43.95</v>
      </c>
      <c r="I24" s="117">
        <f t="shared" si="3"/>
        <v>527.4</v>
      </c>
      <c r="J24" s="118" t="s">
        <v>270</v>
      </c>
    </row>
    <row r="25" spans="1:15" s="127" customFormat="1">
      <c r="A25" s="218"/>
      <c r="B25" s="108"/>
      <c r="C25" s="110"/>
      <c r="D25" s="109"/>
      <c r="E25" s="77"/>
      <c r="F25" s="132"/>
      <c r="G25" s="69"/>
      <c r="H25" s="111"/>
      <c r="I25" s="111"/>
      <c r="J25" s="223"/>
      <c r="K25" s="73"/>
    </row>
    <row r="26" spans="1:15" s="127" customFormat="1">
      <c r="A26" s="31">
        <v>3</v>
      </c>
      <c r="B26" s="32" t="s">
        <v>473</v>
      </c>
      <c r="C26" s="33"/>
      <c r="D26" s="34" t="s">
        <v>381</v>
      </c>
      <c r="E26" s="35">
        <v>1</v>
      </c>
      <c r="F26" s="35"/>
      <c r="G26" s="35"/>
      <c r="H26" s="36"/>
      <c r="I26" s="37">
        <f>'Estimativa As Built'!H38</f>
        <v>1961.1453588932</v>
      </c>
      <c r="J26" s="38"/>
      <c r="K26" s="133">
        <f>I26/I$138</f>
        <v>8.1357256898580629E-3</v>
      </c>
    </row>
    <row r="27" spans="1:15">
      <c r="A27" s="122"/>
      <c r="B27" s="123"/>
      <c r="C27" s="16"/>
      <c r="D27" s="17"/>
      <c r="E27" s="18"/>
      <c r="F27" s="18"/>
      <c r="G27" s="18"/>
      <c r="H27" s="18"/>
      <c r="I27" s="18"/>
      <c r="J27" s="19"/>
    </row>
    <row r="28" spans="1:15">
      <c r="A28" s="31">
        <v>4</v>
      </c>
      <c r="B28" s="32" t="s">
        <v>29</v>
      </c>
      <c r="C28" s="33"/>
      <c r="D28" s="34"/>
      <c r="E28" s="35"/>
      <c r="F28" s="35"/>
      <c r="G28" s="35"/>
      <c r="H28" s="36"/>
      <c r="I28" s="37">
        <f>SUM(I30:I35)</f>
        <v>77470.759999999995</v>
      </c>
      <c r="J28" s="38"/>
      <c r="K28" s="133">
        <f>I28/I$138</f>
        <v>0.32138405727382507</v>
      </c>
    </row>
    <row r="29" spans="1:15">
      <c r="A29" s="218"/>
      <c r="B29" s="108"/>
      <c r="C29" s="110"/>
      <c r="D29" s="109"/>
      <c r="E29" s="77"/>
      <c r="F29" s="77"/>
      <c r="G29" s="77"/>
      <c r="H29" s="77"/>
      <c r="I29" s="77"/>
      <c r="J29" s="209"/>
    </row>
    <row r="30" spans="1:15">
      <c r="A30" s="114" t="s">
        <v>139</v>
      </c>
      <c r="B30" s="115" t="s">
        <v>194</v>
      </c>
      <c r="C30" s="5"/>
      <c r="D30" s="116" t="s">
        <v>14</v>
      </c>
      <c r="E30" s="112">
        <v>2</v>
      </c>
      <c r="F30" s="25">
        <v>69.17</v>
      </c>
      <c r="G30" s="124">
        <f>BDI!$B$23</f>
        <v>0.24873184530590153</v>
      </c>
      <c r="H30" s="117">
        <f t="shared" ref="H30:H31" si="4">TRUNC(F30*(1+G30),2)</f>
        <v>86.37</v>
      </c>
      <c r="I30" s="117">
        <f>TRUNC(E30*H30,2)</f>
        <v>172.74</v>
      </c>
      <c r="J30" s="118" t="s">
        <v>193</v>
      </c>
    </row>
    <row r="31" spans="1:15" ht="30">
      <c r="A31" s="114" t="s">
        <v>140</v>
      </c>
      <c r="B31" s="115" t="s">
        <v>189</v>
      </c>
      <c r="C31" s="5"/>
      <c r="D31" s="116" t="s">
        <v>190</v>
      </c>
      <c r="E31" s="112">
        <v>0.5</v>
      </c>
      <c r="F31" s="25">
        <v>169.75</v>
      </c>
      <c r="G31" s="124">
        <f>BDI!$B$23</f>
        <v>0.24873184530590153</v>
      </c>
      <c r="H31" s="117">
        <f t="shared" si="4"/>
        <v>211.97</v>
      </c>
      <c r="I31" s="117">
        <f>TRUNC(E31*H31,2)</f>
        <v>105.98</v>
      </c>
      <c r="J31" s="118" t="s">
        <v>188</v>
      </c>
    </row>
    <row r="32" spans="1:15" ht="45">
      <c r="A32" s="114" t="s">
        <v>141</v>
      </c>
      <c r="B32" s="108" t="s">
        <v>309</v>
      </c>
      <c r="C32" s="77"/>
      <c r="D32" s="109" t="s">
        <v>13</v>
      </c>
      <c r="E32" s="77">
        <v>200.41</v>
      </c>
      <c r="F32" s="77">
        <v>26.57</v>
      </c>
      <c r="G32" s="124">
        <f>BDI!$B$23</f>
        <v>0.24873184530590153</v>
      </c>
      <c r="H32" s="119">
        <v>33.35</v>
      </c>
      <c r="I32" s="117">
        <v>6683.67</v>
      </c>
      <c r="J32" s="209" t="s">
        <v>310</v>
      </c>
    </row>
    <row r="33" spans="1:11" ht="30">
      <c r="A33" s="114" t="s">
        <v>142</v>
      </c>
      <c r="B33" s="115" t="s">
        <v>4</v>
      </c>
      <c r="C33" s="5"/>
      <c r="D33" s="116" t="s">
        <v>13</v>
      </c>
      <c r="E33" s="112">
        <v>200.41</v>
      </c>
      <c r="F33" s="25">
        <v>0</v>
      </c>
      <c r="G33" s="25">
        <v>0</v>
      </c>
      <c r="H33" s="117">
        <v>340</v>
      </c>
      <c r="I33" s="117">
        <f>TRUNC(E33*(F33+H33)*(1+G33),2)</f>
        <v>68139.399999999994</v>
      </c>
      <c r="J33" s="118" t="s">
        <v>127</v>
      </c>
    </row>
    <row r="34" spans="1:11">
      <c r="A34" s="114" t="s">
        <v>314</v>
      </c>
      <c r="B34" s="115" t="s">
        <v>254</v>
      </c>
      <c r="C34" s="5" t="s">
        <v>256</v>
      </c>
      <c r="D34" s="116" t="s">
        <v>190</v>
      </c>
      <c r="E34" s="112">
        <f>21.22*0.17</f>
        <v>3.6074000000000002</v>
      </c>
      <c r="F34" s="119">
        <v>90.58</v>
      </c>
      <c r="G34" s="124">
        <f>BDI!$B$23</f>
        <v>0.24873184530590153</v>
      </c>
      <c r="H34" s="119">
        <f t="shared" ref="H34" si="5">TRUNC(F34*(1+G34),2)</f>
        <v>113.11</v>
      </c>
      <c r="I34" s="117">
        <f t="shared" ref="I34" si="6">TRUNC(E34*H34,2)</f>
        <v>408.03</v>
      </c>
      <c r="J34" s="118" t="s">
        <v>255</v>
      </c>
    </row>
    <row r="35" spans="1:11" ht="78" customHeight="1">
      <c r="A35" s="114" t="s">
        <v>315</v>
      </c>
      <c r="B35" s="115" t="s">
        <v>51</v>
      </c>
      <c r="C35" s="5" t="s">
        <v>157</v>
      </c>
      <c r="D35" s="116" t="s">
        <v>13</v>
      </c>
      <c r="E35" s="112">
        <v>21.22</v>
      </c>
      <c r="F35" s="119">
        <v>74.010000000000005</v>
      </c>
      <c r="G35" s="124">
        <f>BDI!$B$23</f>
        <v>0.24873184530590153</v>
      </c>
      <c r="H35" s="119">
        <f>TRUNC(F35*(1+G35),2)</f>
        <v>92.41</v>
      </c>
      <c r="I35" s="117">
        <f>TRUNC(E35*H35,2)</f>
        <v>1960.94</v>
      </c>
      <c r="J35" s="118" t="s">
        <v>197</v>
      </c>
    </row>
    <row r="36" spans="1:11">
      <c r="A36" s="122"/>
      <c r="B36" s="123"/>
      <c r="C36" s="16"/>
      <c r="D36" s="17"/>
      <c r="E36" s="18"/>
      <c r="F36" s="20"/>
      <c r="G36" s="20"/>
      <c r="H36" s="20"/>
      <c r="I36" s="18"/>
      <c r="J36" s="19"/>
    </row>
    <row r="37" spans="1:11">
      <c r="A37" s="31">
        <v>5</v>
      </c>
      <c r="B37" s="32" t="s">
        <v>35</v>
      </c>
      <c r="C37" s="33"/>
      <c r="D37" s="34"/>
      <c r="E37" s="35"/>
      <c r="F37" s="39"/>
      <c r="G37" s="39"/>
      <c r="H37" s="40"/>
      <c r="I37" s="37">
        <f>SUM(I38:I40)</f>
        <v>27724.43</v>
      </c>
      <c r="J37" s="38"/>
      <c r="K37" s="133">
        <f>I37/I$138</f>
        <v>0.11501358446727715</v>
      </c>
    </row>
    <row r="38" spans="1:11" ht="30">
      <c r="A38" s="114" t="s">
        <v>143</v>
      </c>
      <c r="B38" s="115" t="s">
        <v>5</v>
      </c>
      <c r="C38" s="5"/>
      <c r="D38" s="116" t="s">
        <v>13</v>
      </c>
      <c r="E38" s="120">
        <v>252.97</v>
      </c>
      <c r="F38" s="25">
        <v>0</v>
      </c>
      <c r="G38" s="25">
        <v>0</v>
      </c>
      <c r="H38" s="117">
        <v>98.8</v>
      </c>
      <c r="I38" s="117">
        <f>TRUNC(E38*(F38+H38)*(1+G38),2)</f>
        <v>24993.43</v>
      </c>
      <c r="J38" s="118" t="s">
        <v>128</v>
      </c>
    </row>
    <row r="39" spans="1:11" ht="45">
      <c r="A39" s="114" t="s">
        <v>144</v>
      </c>
      <c r="B39" s="115" t="s">
        <v>50</v>
      </c>
      <c r="C39" s="5" t="s">
        <v>156</v>
      </c>
      <c r="D39" s="116" t="s">
        <v>13</v>
      </c>
      <c r="E39" s="120">
        <v>7.76</v>
      </c>
      <c r="F39" s="117">
        <v>60.19</v>
      </c>
      <c r="G39" s="124">
        <f>BDI!$B$23</f>
        <v>0.24873184530590153</v>
      </c>
      <c r="H39" s="119">
        <f>TRUNC(F39*(1+G39),2)</f>
        <v>75.16</v>
      </c>
      <c r="I39" s="117">
        <f>TRUNC(E39*H39,2)</f>
        <v>583.24</v>
      </c>
      <c r="J39" s="118" t="s">
        <v>198</v>
      </c>
    </row>
    <row r="40" spans="1:11" ht="60">
      <c r="A40" s="114" t="s">
        <v>145</v>
      </c>
      <c r="B40" s="115" t="s">
        <v>49</v>
      </c>
      <c r="C40" s="5" t="s">
        <v>156</v>
      </c>
      <c r="D40" s="116" t="s">
        <v>13</v>
      </c>
      <c r="E40" s="120">
        <v>33.340000000000003</v>
      </c>
      <c r="F40" s="117">
        <v>51.59</v>
      </c>
      <c r="G40" s="124">
        <f>BDI!$B$23</f>
        <v>0.24873184530590153</v>
      </c>
      <c r="H40" s="119">
        <f>TRUNC(F40*(1+G40),2)</f>
        <v>64.42</v>
      </c>
      <c r="I40" s="117">
        <f>TRUNC(E40*H40,2)</f>
        <v>2147.7600000000002</v>
      </c>
      <c r="J40" s="118" t="s">
        <v>199</v>
      </c>
    </row>
    <row r="41" spans="1:11">
      <c r="A41" s="122"/>
      <c r="B41" s="123"/>
      <c r="C41" s="16"/>
      <c r="D41" s="17"/>
      <c r="E41" s="123"/>
      <c r="F41" s="20"/>
      <c r="G41" s="20"/>
      <c r="H41" s="20"/>
      <c r="I41" s="18"/>
      <c r="J41" s="19"/>
    </row>
    <row r="42" spans="1:11">
      <c r="A42" s="31">
        <v>6</v>
      </c>
      <c r="B42" s="32" t="s">
        <v>11</v>
      </c>
      <c r="C42" s="33"/>
      <c r="D42" s="34"/>
      <c r="E42" s="35"/>
      <c r="F42" s="39"/>
      <c r="G42" s="39"/>
      <c r="H42" s="40"/>
      <c r="I42" s="37">
        <f>SUM(I43:I47)</f>
        <v>3944.6500000000005</v>
      </c>
      <c r="J42" s="38"/>
      <c r="K42" s="133">
        <f>I42/I$138</f>
        <v>1.6364207883402648E-2</v>
      </c>
    </row>
    <row r="43" spans="1:11" ht="16.5" customHeight="1">
      <c r="A43" s="114" t="s">
        <v>146</v>
      </c>
      <c r="B43" s="115" t="s">
        <v>12</v>
      </c>
      <c r="C43" s="5" t="s">
        <v>25</v>
      </c>
      <c r="D43" s="116" t="s">
        <v>13</v>
      </c>
      <c r="E43" s="112">
        <f>2*0.36</f>
        <v>0.72</v>
      </c>
      <c r="F43" s="117">
        <v>297.68</v>
      </c>
      <c r="G43" s="124">
        <f>BDI!$B$23</f>
        <v>0.24873184530590153</v>
      </c>
      <c r="H43" s="119">
        <f>TRUNC(F43*(1+G43),2)</f>
        <v>371.72</v>
      </c>
      <c r="I43" s="117">
        <f>TRUNC(E43*H43,2)</f>
        <v>267.63</v>
      </c>
      <c r="J43" s="118" t="s">
        <v>200</v>
      </c>
    </row>
    <row r="44" spans="1:11" ht="30">
      <c r="A44" s="114" t="s">
        <v>147</v>
      </c>
      <c r="B44" s="115" t="s">
        <v>0</v>
      </c>
      <c r="C44" s="5" t="s">
        <v>24</v>
      </c>
      <c r="D44" s="116" t="s">
        <v>13</v>
      </c>
      <c r="E44" s="112">
        <f>2*1.26</f>
        <v>2.52</v>
      </c>
      <c r="F44" s="25">
        <v>0</v>
      </c>
      <c r="G44" s="25">
        <v>0</v>
      </c>
      <c r="H44" s="117">
        <v>180</v>
      </c>
      <c r="I44" s="117">
        <f t="shared" ref="I44:I45" si="7">TRUNC(E44*(F44+H44)*(1+G44),2)</f>
        <v>453.6</v>
      </c>
      <c r="J44" s="118" t="s">
        <v>118</v>
      </c>
    </row>
    <row r="45" spans="1:11" ht="45">
      <c r="A45" s="114" t="s">
        <v>316</v>
      </c>
      <c r="B45" s="115" t="s">
        <v>3</v>
      </c>
      <c r="C45" s="5" t="s">
        <v>26</v>
      </c>
      <c r="D45" s="116" t="s">
        <v>14</v>
      </c>
      <c r="E45" s="112">
        <v>6</v>
      </c>
      <c r="F45" s="25">
        <v>0</v>
      </c>
      <c r="G45" s="25">
        <v>0</v>
      </c>
      <c r="H45" s="117">
        <v>264.07</v>
      </c>
      <c r="I45" s="117">
        <f t="shared" si="7"/>
        <v>1584.42</v>
      </c>
      <c r="J45" s="118" t="s">
        <v>119</v>
      </c>
    </row>
    <row r="46" spans="1:11" ht="45">
      <c r="A46" s="114" t="s">
        <v>317</v>
      </c>
      <c r="B46" s="115" t="s">
        <v>65</v>
      </c>
      <c r="C46" s="5" t="s">
        <v>27</v>
      </c>
      <c r="D46" s="116" t="s">
        <v>14</v>
      </c>
      <c r="E46" s="112">
        <v>2</v>
      </c>
      <c r="F46" s="117">
        <v>421.9</v>
      </c>
      <c r="G46" s="124">
        <f>BDI!$B$23</f>
        <v>0.24873184530590153</v>
      </c>
      <c r="H46" s="119">
        <f>TRUNC(F46*(1+G46),2)</f>
        <v>526.83000000000004</v>
      </c>
      <c r="I46" s="117">
        <f>TRUNC(E46*H46,2)</f>
        <v>1053.6600000000001</v>
      </c>
      <c r="J46" s="118" t="s">
        <v>201</v>
      </c>
    </row>
    <row r="47" spans="1:11" ht="45">
      <c r="A47" s="114" t="s">
        <v>318</v>
      </c>
      <c r="B47" s="115" t="s">
        <v>66</v>
      </c>
      <c r="C47" s="5" t="s">
        <v>28</v>
      </c>
      <c r="D47" s="116" t="s">
        <v>14</v>
      </c>
      <c r="E47" s="112">
        <v>1</v>
      </c>
      <c r="F47" s="117">
        <v>468.75</v>
      </c>
      <c r="G47" s="124">
        <f>BDI!$B$23</f>
        <v>0.24873184530590153</v>
      </c>
      <c r="H47" s="119">
        <f>TRUNC(F47*(1+G47),2)</f>
        <v>585.34</v>
      </c>
      <c r="I47" s="117">
        <f>TRUNC(E47*H47,2)</f>
        <v>585.34</v>
      </c>
      <c r="J47" s="118" t="s">
        <v>202</v>
      </c>
    </row>
    <row r="48" spans="1:11">
      <c r="A48" s="114"/>
      <c r="B48" s="115"/>
      <c r="C48" s="5"/>
      <c r="D48" s="116"/>
      <c r="E48" s="6"/>
      <c r="F48" s="117"/>
      <c r="G48" s="117"/>
      <c r="H48" s="117"/>
      <c r="I48" s="6"/>
      <c r="J48" s="7"/>
    </row>
    <row r="49" spans="1:11">
      <c r="A49" s="31">
        <v>7</v>
      </c>
      <c r="B49" s="32" t="s">
        <v>114</v>
      </c>
      <c r="C49" s="33"/>
      <c r="D49" s="34"/>
      <c r="E49" s="35"/>
      <c r="F49" s="35"/>
      <c r="G49" s="35"/>
      <c r="H49" s="36"/>
      <c r="I49" s="37">
        <f>SUM(I50:I53)</f>
        <v>8142.79</v>
      </c>
      <c r="J49" s="38"/>
      <c r="K49" s="133">
        <f>I49/I$138</f>
        <v>3.3780007937559024E-2</v>
      </c>
    </row>
    <row r="50" spans="1:11" ht="30">
      <c r="A50" s="114" t="s">
        <v>148</v>
      </c>
      <c r="B50" s="115" t="s">
        <v>107</v>
      </c>
      <c r="C50" s="5" t="s">
        <v>117</v>
      </c>
      <c r="D50" s="116" t="s">
        <v>14</v>
      </c>
      <c r="E50" s="112">
        <v>1</v>
      </c>
      <c r="F50" s="25">
        <v>0</v>
      </c>
      <c r="G50" s="25">
        <v>0</v>
      </c>
      <c r="H50" s="117">
        <v>2300</v>
      </c>
      <c r="I50" s="117">
        <f t="shared" ref="I50:I53" si="8">TRUNC(E50*(F50+H50)*(1+G50),2)</f>
        <v>2300</v>
      </c>
      <c r="J50" s="235" t="s">
        <v>484</v>
      </c>
    </row>
    <row r="51" spans="1:11" ht="75">
      <c r="A51" s="114" t="s">
        <v>149</v>
      </c>
      <c r="B51" s="115" t="s">
        <v>108</v>
      </c>
      <c r="C51" s="5" t="s">
        <v>155</v>
      </c>
      <c r="D51" s="116" t="s">
        <v>14</v>
      </c>
      <c r="E51" s="112">
        <v>4</v>
      </c>
      <c r="F51" s="25">
        <v>0</v>
      </c>
      <c r="G51" s="25">
        <v>0</v>
      </c>
      <c r="H51" s="117">
        <v>719.83</v>
      </c>
      <c r="I51" s="117">
        <f t="shared" si="8"/>
        <v>2879.32</v>
      </c>
      <c r="J51" s="235" t="s">
        <v>485</v>
      </c>
    </row>
    <row r="52" spans="1:11" ht="60">
      <c r="A52" s="114" t="s">
        <v>150</v>
      </c>
      <c r="B52" s="115" t="s">
        <v>109</v>
      </c>
      <c r="C52" s="5"/>
      <c r="D52" s="116" t="s">
        <v>23</v>
      </c>
      <c r="E52" s="112">
        <v>33</v>
      </c>
      <c r="F52" s="25">
        <v>0</v>
      </c>
      <c r="G52" s="25">
        <v>0</v>
      </c>
      <c r="H52" s="6">
        <v>46.74</v>
      </c>
      <c r="I52" s="117">
        <f t="shared" si="8"/>
        <v>1542.42</v>
      </c>
      <c r="J52" s="235" t="s">
        <v>486</v>
      </c>
    </row>
    <row r="53" spans="1:11" ht="28.5" customHeight="1">
      <c r="A53" s="114" t="s">
        <v>151</v>
      </c>
      <c r="B53" s="115" t="s">
        <v>110</v>
      </c>
      <c r="C53" s="5"/>
      <c r="D53" s="116" t="s">
        <v>23</v>
      </c>
      <c r="E53" s="112">
        <v>47.4</v>
      </c>
      <c r="F53" s="25">
        <v>0</v>
      </c>
      <c r="G53" s="25">
        <v>0</v>
      </c>
      <c r="H53" s="6">
        <v>29.98</v>
      </c>
      <c r="I53" s="117">
        <f t="shared" si="8"/>
        <v>1421.05</v>
      </c>
      <c r="J53" s="235" t="s">
        <v>487</v>
      </c>
    </row>
    <row r="54" spans="1:11" ht="28.5" customHeight="1">
      <c r="A54" s="122"/>
      <c r="B54" s="123"/>
      <c r="C54" s="16"/>
      <c r="D54" s="17"/>
      <c r="E54" s="18"/>
      <c r="F54" s="18"/>
      <c r="G54" s="18"/>
      <c r="H54" s="18"/>
      <c r="I54" s="20"/>
      <c r="J54" s="21"/>
    </row>
    <row r="55" spans="1:11">
      <c r="A55" s="31">
        <v>8</v>
      </c>
      <c r="B55" s="32" t="s">
        <v>68</v>
      </c>
      <c r="C55" s="33"/>
      <c r="D55" s="34"/>
      <c r="E55" s="35"/>
      <c r="F55" s="39"/>
      <c r="G55" s="39"/>
      <c r="H55" s="40"/>
      <c r="I55" s="37">
        <f>SUM(I56:I85)</f>
        <v>42204.590000000004</v>
      </c>
      <c r="J55" s="38"/>
      <c r="K55" s="133">
        <f>I55/I$138</f>
        <v>0.17508389448842773</v>
      </c>
    </row>
    <row r="56" spans="1:11" s="127" customFormat="1" ht="42.75" customHeight="1">
      <c r="A56" s="114" t="s">
        <v>152</v>
      </c>
      <c r="B56" s="115" t="s">
        <v>464</v>
      </c>
      <c r="C56" s="234" t="s">
        <v>469</v>
      </c>
      <c r="D56" s="116" t="s">
        <v>14</v>
      </c>
      <c r="E56" s="112">
        <v>1</v>
      </c>
      <c r="F56" s="117">
        <v>43</v>
      </c>
      <c r="G56" s="124">
        <f>BDI!$B$23</f>
        <v>0.24873184530590153</v>
      </c>
      <c r="H56" s="119">
        <f t="shared" ref="H56:H61" si="9">TRUNC(F56*(1+G56),2)</f>
        <v>53.69</v>
      </c>
      <c r="I56" s="117">
        <f t="shared" ref="I56:I61" si="10">TRUNC(E56*H56,2)</f>
        <v>53.69</v>
      </c>
      <c r="J56" s="235" t="s">
        <v>468</v>
      </c>
      <c r="K56" s="73"/>
    </row>
    <row r="57" spans="1:11" ht="42.75" customHeight="1">
      <c r="A57" s="114" t="s">
        <v>319</v>
      </c>
      <c r="B57" s="115" t="s">
        <v>466</v>
      </c>
      <c r="C57" s="5" t="s">
        <v>467</v>
      </c>
      <c r="D57" s="116" t="s">
        <v>14</v>
      </c>
      <c r="E57" s="112">
        <v>2</v>
      </c>
      <c r="F57" s="117">
        <v>212.86</v>
      </c>
      <c r="G57" s="124">
        <f>BDI!$B$23</f>
        <v>0.24873184530590153</v>
      </c>
      <c r="H57" s="119">
        <f t="shared" si="9"/>
        <v>265.8</v>
      </c>
      <c r="I57" s="117">
        <f t="shared" si="10"/>
        <v>531.6</v>
      </c>
      <c r="J57" s="118" t="s">
        <v>465</v>
      </c>
    </row>
    <row r="58" spans="1:11" ht="30.75" customHeight="1">
      <c r="A58" s="114" t="s">
        <v>320</v>
      </c>
      <c r="B58" s="115" t="s">
        <v>69</v>
      </c>
      <c r="C58" s="5" t="s">
        <v>115</v>
      </c>
      <c r="D58" s="116" t="s">
        <v>14</v>
      </c>
      <c r="E58" s="6">
        <v>12</v>
      </c>
      <c r="F58" s="77">
        <v>11.74</v>
      </c>
      <c r="G58" s="124">
        <f>BDI!$B$23</f>
        <v>0.24873184530590153</v>
      </c>
      <c r="H58" s="119">
        <f t="shared" si="9"/>
        <v>14.66</v>
      </c>
      <c r="I58" s="117">
        <f t="shared" si="10"/>
        <v>175.92</v>
      </c>
      <c r="J58" s="118" t="s">
        <v>204</v>
      </c>
    </row>
    <row r="59" spans="1:11" s="127" customFormat="1" ht="30.75" customHeight="1">
      <c r="A59" s="114" t="s">
        <v>321</v>
      </c>
      <c r="B59" s="115" t="s">
        <v>446</v>
      </c>
      <c r="C59" s="5" t="s">
        <v>447</v>
      </c>
      <c r="D59" s="116" t="s">
        <v>14</v>
      </c>
      <c r="E59" s="6">
        <v>1</v>
      </c>
      <c r="F59" s="77">
        <v>18.39</v>
      </c>
      <c r="G59" s="124">
        <f>BDI!$B$23</f>
        <v>0.24873184530590153</v>
      </c>
      <c r="H59" s="119">
        <f t="shared" si="9"/>
        <v>22.96</v>
      </c>
      <c r="I59" s="117">
        <f t="shared" si="10"/>
        <v>22.96</v>
      </c>
      <c r="J59" s="118" t="s">
        <v>448</v>
      </c>
      <c r="K59" s="73"/>
    </row>
    <row r="60" spans="1:11" s="127" customFormat="1" ht="30.75" customHeight="1">
      <c r="A60" s="114" t="s">
        <v>322</v>
      </c>
      <c r="B60" s="115" t="s">
        <v>470</v>
      </c>
      <c r="C60" s="5" t="s">
        <v>447</v>
      </c>
      <c r="D60" s="116" t="s">
        <v>14</v>
      </c>
      <c r="E60" s="6">
        <v>2</v>
      </c>
      <c r="F60" s="77">
        <v>76.930000000000007</v>
      </c>
      <c r="G60" s="124">
        <f>BDI!$B$23</f>
        <v>0.24873184530590153</v>
      </c>
      <c r="H60" s="119">
        <f t="shared" si="9"/>
        <v>96.06</v>
      </c>
      <c r="I60" s="117">
        <f t="shared" si="10"/>
        <v>192.12</v>
      </c>
      <c r="J60" s="118" t="s">
        <v>471</v>
      </c>
      <c r="K60" s="73"/>
    </row>
    <row r="61" spans="1:11" ht="30">
      <c r="A61" s="114" t="s">
        <v>323</v>
      </c>
      <c r="B61" s="115" t="s">
        <v>70</v>
      </c>
      <c r="C61" s="234" t="s">
        <v>116</v>
      </c>
      <c r="D61" s="116" t="s">
        <v>14</v>
      </c>
      <c r="E61" s="6">
        <v>1</v>
      </c>
      <c r="F61" s="77">
        <v>103.83</v>
      </c>
      <c r="G61" s="124">
        <f>BDI!$B$23</f>
        <v>0.24873184530590153</v>
      </c>
      <c r="H61" s="119">
        <f t="shared" si="9"/>
        <v>129.65</v>
      </c>
      <c r="I61" s="117">
        <f t="shared" si="10"/>
        <v>129.65</v>
      </c>
      <c r="J61" s="118" t="s">
        <v>205</v>
      </c>
    </row>
    <row r="62" spans="1:11" ht="45">
      <c r="A62" s="114" t="s">
        <v>324</v>
      </c>
      <c r="B62" s="115" t="s">
        <v>474</v>
      </c>
      <c r="C62" s="5" t="s">
        <v>71</v>
      </c>
      <c r="D62" s="116" t="s">
        <v>23</v>
      </c>
      <c r="E62" s="6">
        <v>60</v>
      </c>
      <c r="F62" s="77">
        <v>1.92</v>
      </c>
      <c r="G62" s="124">
        <f>BDI!$B$23</f>
        <v>0.24873184530590153</v>
      </c>
      <c r="H62" s="119">
        <f t="shared" ref="H62:H64" si="11">TRUNC(F62*(1+G62),2)</f>
        <v>2.39</v>
      </c>
      <c r="I62" s="117">
        <f t="shared" ref="I62:I64" si="12">TRUNC(E62*H62,2)</f>
        <v>143.4</v>
      </c>
      <c r="J62" s="118" t="s">
        <v>479</v>
      </c>
    </row>
    <row r="63" spans="1:11" ht="45">
      <c r="A63" s="114" t="s">
        <v>325</v>
      </c>
      <c r="B63" s="115" t="s">
        <v>475</v>
      </c>
      <c r="C63" s="5" t="s">
        <v>72</v>
      </c>
      <c r="D63" s="116" t="s">
        <v>23</v>
      </c>
      <c r="E63" s="6">
        <v>540</v>
      </c>
      <c r="F63" s="77">
        <v>3.66</v>
      </c>
      <c r="G63" s="124">
        <f>BDI!$B$23</f>
        <v>0.24873184530590153</v>
      </c>
      <c r="H63" s="119">
        <f t="shared" si="11"/>
        <v>4.57</v>
      </c>
      <c r="I63" s="117">
        <f t="shared" si="12"/>
        <v>2467.8000000000002</v>
      </c>
      <c r="J63" s="118" t="s">
        <v>478</v>
      </c>
    </row>
    <row r="64" spans="1:11" ht="45">
      <c r="A64" s="114" t="s">
        <v>326</v>
      </c>
      <c r="B64" s="115" t="s">
        <v>476</v>
      </c>
      <c r="C64" s="5" t="s">
        <v>73</v>
      </c>
      <c r="D64" s="116" t="s">
        <v>23</v>
      </c>
      <c r="E64" s="6">
        <v>110</v>
      </c>
      <c r="F64" s="77">
        <v>5.66</v>
      </c>
      <c r="G64" s="124">
        <f>BDI!$B$23</f>
        <v>0.24873184530590153</v>
      </c>
      <c r="H64" s="119">
        <f t="shared" si="11"/>
        <v>7.06</v>
      </c>
      <c r="I64" s="117">
        <f t="shared" si="12"/>
        <v>776.6</v>
      </c>
      <c r="J64" s="118" t="s">
        <v>477</v>
      </c>
    </row>
    <row r="65" spans="1:11" s="127" customFormat="1" ht="45">
      <c r="A65" s="114" t="s">
        <v>327</v>
      </c>
      <c r="B65" s="115" t="s">
        <v>481</v>
      </c>
      <c r="C65" s="5" t="s">
        <v>453</v>
      </c>
      <c r="D65" s="116" t="s">
        <v>23</v>
      </c>
      <c r="E65" s="6">
        <v>65</v>
      </c>
      <c r="F65" s="229">
        <v>7.97</v>
      </c>
      <c r="G65" s="124">
        <f>BDI!$B$23</f>
        <v>0.24873184530590153</v>
      </c>
      <c r="H65" s="119">
        <f t="shared" ref="H65" si="13">TRUNC(F65*(1+G65),2)</f>
        <v>9.9499999999999993</v>
      </c>
      <c r="I65" s="117">
        <f t="shared" ref="I65" si="14">TRUNC(E65*H65,2)</f>
        <v>646.75</v>
      </c>
      <c r="J65" s="118" t="s">
        <v>480</v>
      </c>
      <c r="K65" s="73"/>
    </row>
    <row r="66" spans="1:11" s="127" customFormat="1" ht="45">
      <c r="A66" s="114" t="s">
        <v>328</v>
      </c>
      <c r="B66" s="115" t="s">
        <v>482</v>
      </c>
      <c r="C66" s="5" t="s">
        <v>455</v>
      </c>
      <c r="D66" s="116" t="s">
        <v>23</v>
      </c>
      <c r="E66" s="6">
        <v>250</v>
      </c>
      <c r="F66" s="229">
        <v>12.02</v>
      </c>
      <c r="G66" s="124">
        <f>BDI!$B$23</f>
        <v>0.24873184530590153</v>
      </c>
      <c r="H66" s="119">
        <f t="shared" ref="H66" si="15">TRUNC(F66*(1+G66),2)</f>
        <v>15</v>
      </c>
      <c r="I66" s="117">
        <f t="shared" ref="I66" si="16">TRUNC(E66*H66,2)</f>
        <v>3750</v>
      </c>
      <c r="J66" s="118" t="s">
        <v>483</v>
      </c>
      <c r="K66" s="73"/>
    </row>
    <row r="67" spans="1:11" ht="75">
      <c r="A67" s="114" t="s">
        <v>329</v>
      </c>
      <c r="B67" s="115" t="s">
        <v>171</v>
      </c>
      <c r="C67" s="5" t="s">
        <v>170</v>
      </c>
      <c r="D67" s="116" t="s">
        <v>14</v>
      </c>
      <c r="E67" s="6">
        <f>E79*2</f>
        <v>30</v>
      </c>
      <c r="F67" s="117">
        <v>468</v>
      </c>
      <c r="G67" s="124">
        <f>BDI!$B$23</f>
        <v>0.24873184530590153</v>
      </c>
      <c r="H67" s="119">
        <f t="shared" ref="H67" si="17">TRUNC(F67*(1+G67),2)</f>
        <v>584.4</v>
      </c>
      <c r="I67" s="117">
        <f t="shared" ref="I67" si="18">TRUNC(E67*H67,2)</f>
        <v>17532</v>
      </c>
      <c r="J67" s="118" t="s">
        <v>172</v>
      </c>
    </row>
    <row r="68" spans="1:11" ht="75">
      <c r="A68" s="114" t="s">
        <v>330</v>
      </c>
      <c r="B68" s="115" t="s">
        <v>79</v>
      </c>
      <c r="C68" s="5" t="s">
        <v>77</v>
      </c>
      <c r="D68" s="116" t="s">
        <v>23</v>
      </c>
      <c r="E68" s="126">
        <v>24.96</v>
      </c>
      <c r="F68" s="25">
        <v>0</v>
      </c>
      <c r="G68" s="25">
        <v>0</v>
      </c>
      <c r="H68" s="117">
        <v>89</v>
      </c>
      <c r="I68" s="117">
        <f t="shared" ref="I68:I79" si="19">TRUNC(E68*(F68+H68)*(1+G68),2)</f>
        <v>2221.44</v>
      </c>
      <c r="J68" s="118" t="s">
        <v>124</v>
      </c>
    </row>
    <row r="69" spans="1:11" ht="75">
      <c r="A69" s="114" t="s">
        <v>331</v>
      </c>
      <c r="B69" s="115" t="s">
        <v>74</v>
      </c>
      <c r="C69" s="5" t="s">
        <v>78</v>
      </c>
      <c r="D69" s="116" t="s">
        <v>23</v>
      </c>
      <c r="E69" s="126">
        <v>44.68</v>
      </c>
      <c r="F69" s="25">
        <v>0</v>
      </c>
      <c r="G69" s="25">
        <v>0</v>
      </c>
      <c r="H69" s="117">
        <v>96</v>
      </c>
      <c r="I69" s="117">
        <f t="shared" si="19"/>
        <v>4289.28</v>
      </c>
      <c r="J69" s="118" t="s">
        <v>125</v>
      </c>
    </row>
    <row r="70" spans="1:11">
      <c r="A70" s="114" t="s">
        <v>332</v>
      </c>
      <c r="B70" s="6" t="s">
        <v>80</v>
      </c>
      <c r="C70" s="5" t="s">
        <v>82</v>
      </c>
      <c r="D70" s="116" t="s">
        <v>14</v>
      </c>
      <c r="E70" s="112">
        <v>25</v>
      </c>
      <c r="F70" s="117">
        <v>7.2</v>
      </c>
      <c r="G70" s="124">
        <f>BDI!$B$23</f>
        <v>0.24873184530590153</v>
      </c>
      <c r="H70" s="119">
        <f t="shared" ref="H70:H78" si="20">TRUNC(F70*(1+G70),2)</f>
        <v>8.99</v>
      </c>
      <c r="I70" s="117">
        <f t="shared" ref="I70:I78" si="21">TRUNC(E70*H70,2)</f>
        <v>224.75</v>
      </c>
      <c r="J70" s="118" t="s">
        <v>209</v>
      </c>
    </row>
    <row r="71" spans="1:11">
      <c r="A71" s="114" t="s">
        <v>333</v>
      </c>
      <c r="B71" s="6" t="s">
        <v>81</v>
      </c>
      <c r="C71" s="5" t="s">
        <v>83</v>
      </c>
      <c r="D71" s="116" t="s">
        <v>14</v>
      </c>
      <c r="E71" s="112">
        <v>27</v>
      </c>
      <c r="F71" s="117">
        <v>6.08</v>
      </c>
      <c r="G71" s="124">
        <f>BDI!$B$23</f>
        <v>0.24873184530590153</v>
      </c>
      <c r="H71" s="119">
        <f t="shared" si="20"/>
        <v>7.59</v>
      </c>
      <c r="I71" s="117">
        <f t="shared" si="21"/>
        <v>204.93</v>
      </c>
      <c r="J71" s="118" t="s">
        <v>210</v>
      </c>
    </row>
    <row r="72" spans="1:11">
      <c r="A72" s="114" t="s">
        <v>334</v>
      </c>
      <c r="B72" s="115" t="s">
        <v>84</v>
      </c>
      <c r="C72" s="5" t="s">
        <v>89</v>
      </c>
      <c r="D72" s="116" t="s">
        <v>14</v>
      </c>
      <c r="E72" s="112">
        <v>5</v>
      </c>
      <c r="F72" s="117">
        <v>35.53</v>
      </c>
      <c r="G72" s="124">
        <f>BDI!$B$23</f>
        <v>0.24873184530590153</v>
      </c>
      <c r="H72" s="119">
        <f t="shared" si="20"/>
        <v>44.36</v>
      </c>
      <c r="I72" s="117">
        <f t="shared" si="21"/>
        <v>221.8</v>
      </c>
      <c r="J72" s="118" t="s">
        <v>211</v>
      </c>
    </row>
    <row r="73" spans="1:11" ht="30">
      <c r="A73" s="114" t="s">
        <v>335</v>
      </c>
      <c r="B73" s="115" t="s">
        <v>85</v>
      </c>
      <c r="C73" s="5" t="s">
        <v>87</v>
      </c>
      <c r="D73" s="116" t="s">
        <v>14</v>
      </c>
      <c r="E73" s="112">
        <v>6</v>
      </c>
      <c r="F73" s="117">
        <v>13.24</v>
      </c>
      <c r="G73" s="124">
        <f>BDI!$B$23</f>
        <v>0.24873184530590153</v>
      </c>
      <c r="H73" s="119">
        <f t="shared" si="20"/>
        <v>16.53</v>
      </c>
      <c r="I73" s="117">
        <f t="shared" si="21"/>
        <v>99.18</v>
      </c>
      <c r="J73" s="118" t="s">
        <v>212</v>
      </c>
    </row>
    <row r="74" spans="1:11" ht="30">
      <c r="A74" s="114" t="s">
        <v>336</v>
      </c>
      <c r="B74" s="115" t="s">
        <v>86</v>
      </c>
      <c r="C74" s="5" t="s">
        <v>88</v>
      </c>
      <c r="D74" s="116" t="s">
        <v>14</v>
      </c>
      <c r="E74" s="112">
        <v>1</v>
      </c>
      <c r="F74" s="117">
        <v>23.51</v>
      </c>
      <c r="G74" s="124">
        <f>BDI!$B$23</f>
        <v>0.24873184530590153</v>
      </c>
      <c r="H74" s="119">
        <f t="shared" si="20"/>
        <v>29.35</v>
      </c>
      <c r="I74" s="117">
        <f t="shared" si="21"/>
        <v>29.35</v>
      </c>
      <c r="J74" s="118" t="s">
        <v>213</v>
      </c>
    </row>
    <row r="75" spans="1:11" ht="45">
      <c r="A75" s="114" t="s">
        <v>337</v>
      </c>
      <c r="B75" s="115" t="s">
        <v>94</v>
      </c>
      <c r="C75" s="5" t="s">
        <v>96</v>
      </c>
      <c r="D75" s="116" t="s">
        <v>14</v>
      </c>
      <c r="E75" s="112">
        <v>23</v>
      </c>
      <c r="F75" s="117">
        <v>93.05</v>
      </c>
      <c r="G75" s="124">
        <f>BDI!$B$23</f>
        <v>0.24873184530590153</v>
      </c>
      <c r="H75" s="119">
        <f t="shared" si="20"/>
        <v>116.19</v>
      </c>
      <c r="I75" s="117">
        <f t="shared" si="21"/>
        <v>2672.37</v>
      </c>
      <c r="J75" s="118" t="s">
        <v>214</v>
      </c>
    </row>
    <row r="76" spans="1:11" ht="30">
      <c r="A76" s="114" t="s">
        <v>338</v>
      </c>
      <c r="B76" s="115" t="s">
        <v>95</v>
      </c>
      <c r="C76" s="5" t="s">
        <v>97</v>
      </c>
      <c r="D76" s="116" t="s">
        <v>14</v>
      </c>
      <c r="E76" s="112">
        <v>3</v>
      </c>
      <c r="F76" s="117">
        <v>51.82</v>
      </c>
      <c r="G76" s="124">
        <f>BDI!$B$23</f>
        <v>0.24873184530590153</v>
      </c>
      <c r="H76" s="119">
        <f t="shared" si="20"/>
        <v>64.7</v>
      </c>
      <c r="I76" s="117">
        <f t="shared" si="21"/>
        <v>194.1</v>
      </c>
      <c r="J76" s="118" t="s">
        <v>215</v>
      </c>
    </row>
    <row r="77" spans="1:11" ht="30">
      <c r="A77" s="114" t="s">
        <v>339</v>
      </c>
      <c r="B77" s="115" t="s">
        <v>98</v>
      </c>
      <c r="C77" s="5" t="s">
        <v>100</v>
      </c>
      <c r="D77" s="116" t="s">
        <v>14</v>
      </c>
      <c r="E77" s="112">
        <v>10</v>
      </c>
      <c r="F77" s="117">
        <v>14.21</v>
      </c>
      <c r="G77" s="124">
        <f>BDI!$B$23</f>
        <v>0.24873184530590153</v>
      </c>
      <c r="H77" s="119">
        <f t="shared" si="20"/>
        <v>17.739999999999998</v>
      </c>
      <c r="I77" s="117">
        <f t="shared" si="21"/>
        <v>177.4</v>
      </c>
      <c r="J77" s="118" t="s">
        <v>216</v>
      </c>
    </row>
    <row r="78" spans="1:11" ht="30">
      <c r="A78" s="114" t="s">
        <v>340</v>
      </c>
      <c r="B78" s="115" t="s">
        <v>99</v>
      </c>
      <c r="C78" s="5" t="s">
        <v>101</v>
      </c>
      <c r="D78" s="116" t="s">
        <v>14</v>
      </c>
      <c r="E78" s="112">
        <v>2</v>
      </c>
      <c r="F78" s="117">
        <f>12.98+3.53</f>
        <v>16.510000000000002</v>
      </c>
      <c r="G78" s="124">
        <f>BDI!$B$23</f>
        <v>0.24873184530590153</v>
      </c>
      <c r="H78" s="119">
        <f t="shared" si="20"/>
        <v>20.61</v>
      </c>
      <c r="I78" s="117">
        <f t="shared" si="21"/>
        <v>41.22</v>
      </c>
      <c r="J78" s="118" t="s">
        <v>217</v>
      </c>
    </row>
    <row r="79" spans="1:11" ht="45" customHeight="1">
      <c r="A79" s="114" t="s">
        <v>341</v>
      </c>
      <c r="B79" s="115" t="s">
        <v>75</v>
      </c>
      <c r="C79" s="5" t="s">
        <v>102</v>
      </c>
      <c r="D79" s="116" t="s">
        <v>14</v>
      </c>
      <c r="E79" s="112">
        <v>15</v>
      </c>
      <c r="F79" s="25">
        <v>0</v>
      </c>
      <c r="G79" s="25">
        <v>0</v>
      </c>
      <c r="H79" s="117">
        <v>120</v>
      </c>
      <c r="I79" s="117">
        <f t="shared" si="19"/>
        <v>1800</v>
      </c>
      <c r="J79" s="118" t="s">
        <v>126</v>
      </c>
    </row>
    <row r="80" spans="1:11" ht="30">
      <c r="A80" s="114" t="s">
        <v>459</v>
      </c>
      <c r="B80" s="115" t="s">
        <v>76</v>
      </c>
      <c r="C80" s="116" t="s">
        <v>103</v>
      </c>
      <c r="D80" s="116" t="s">
        <v>23</v>
      </c>
      <c r="E80" s="112">
        <v>59.83</v>
      </c>
      <c r="F80" s="117">
        <v>10.26</v>
      </c>
      <c r="G80" s="124">
        <f>BDI!$B$23</f>
        <v>0.24873184530590153</v>
      </c>
      <c r="H80" s="119">
        <f t="shared" ref="H80:H84" si="22">TRUNC(F80*(1+G80),2)</f>
        <v>12.81</v>
      </c>
      <c r="I80" s="117">
        <f t="shared" ref="I80:I84" si="23">TRUNC(E80*H80,2)</f>
        <v>766.42</v>
      </c>
      <c r="J80" s="118" t="s">
        <v>218</v>
      </c>
    </row>
    <row r="81" spans="1:11" ht="30">
      <c r="A81" s="114" t="s">
        <v>460</v>
      </c>
      <c r="B81" s="115" t="s">
        <v>76</v>
      </c>
      <c r="C81" s="116" t="s">
        <v>104</v>
      </c>
      <c r="D81" s="116" t="s">
        <v>23</v>
      </c>
      <c r="E81" s="112">
        <v>33.96</v>
      </c>
      <c r="F81" s="117">
        <v>12.27</v>
      </c>
      <c r="G81" s="124">
        <f>BDI!$B$23</f>
        <v>0.24873184530590153</v>
      </c>
      <c r="H81" s="119">
        <f t="shared" si="22"/>
        <v>15.32</v>
      </c>
      <c r="I81" s="117">
        <f t="shared" si="23"/>
        <v>520.26</v>
      </c>
      <c r="J81" s="118" t="s">
        <v>219</v>
      </c>
    </row>
    <row r="82" spans="1:11" ht="30">
      <c r="A82" s="114" t="s">
        <v>461</v>
      </c>
      <c r="B82" s="115" t="s">
        <v>76</v>
      </c>
      <c r="C82" s="116" t="s">
        <v>105</v>
      </c>
      <c r="D82" s="116" t="s">
        <v>23</v>
      </c>
      <c r="E82" s="112">
        <v>65.34</v>
      </c>
      <c r="F82" s="117">
        <v>18.34</v>
      </c>
      <c r="G82" s="124">
        <f>BDI!$B$23</f>
        <v>0.24873184530590153</v>
      </c>
      <c r="H82" s="119">
        <f t="shared" si="22"/>
        <v>22.9</v>
      </c>
      <c r="I82" s="117">
        <f t="shared" si="23"/>
        <v>1496.28</v>
      </c>
      <c r="J82" s="118" t="s">
        <v>220</v>
      </c>
    </row>
    <row r="83" spans="1:11" ht="30">
      <c r="A83" s="114" t="s">
        <v>462</v>
      </c>
      <c r="B83" s="115" t="s">
        <v>76</v>
      </c>
      <c r="C83" s="116" t="s">
        <v>106</v>
      </c>
      <c r="D83" s="116" t="s">
        <v>23</v>
      </c>
      <c r="E83" s="112">
        <v>9.98</v>
      </c>
      <c r="F83" s="117">
        <v>21.9</v>
      </c>
      <c r="G83" s="124">
        <f>BDI!$B$23</f>
        <v>0.24873184530590153</v>
      </c>
      <c r="H83" s="119">
        <f t="shared" si="22"/>
        <v>27.34</v>
      </c>
      <c r="I83" s="117">
        <f t="shared" si="23"/>
        <v>272.85000000000002</v>
      </c>
      <c r="J83" s="118" t="s">
        <v>221</v>
      </c>
    </row>
    <row r="84" spans="1:11" ht="45">
      <c r="A84" s="114" t="s">
        <v>463</v>
      </c>
      <c r="B84" s="120" t="s">
        <v>112</v>
      </c>
      <c r="C84" s="5" t="s">
        <v>113</v>
      </c>
      <c r="D84" s="116" t="s">
        <v>23</v>
      </c>
      <c r="E84" s="115">
        <f>SUM(E80:E83)</f>
        <v>169.10999999999999</v>
      </c>
      <c r="F84" s="117">
        <v>1.63</v>
      </c>
      <c r="G84" s="124">
        <f>BDI!$B$23</f>
        <v>0.24873184530590153</v>
      </c>
      <c r="H84" s="119">
        <f t="shared" si="22"/>
        <v>2.0299999999999998</v>
      </c>
      <c r="I84" s="117">
        <f t="shared" si="23"/>
        <v>343.29</v>
      </c>
      <c r="J84" s="118" t="s">
        <v>222</v>
      </c>
    </row>
    <row r="85" spans="1:11" s="127" customFormat="1">
      <c r="A85" s="114" t="s">
        <v>472</v>
      </c>
      <c r="B85" s="113" t="s">
        <v>450</v>
      </c>
      <c r="C85" s="16" t="s">
        <v>451</v>
      </c>
      <c r="D85" s="116" t="s">
        <v>14</v>
      </c>
      <c r="E85" s="123">
        <v>3</v>
      </c>
      <c r="F85" s="20">
        <v>55.31</v>
      </c>
      <c r="G85" s="124">
        <f>BDI!$B$23</f>
        <v>0.24873184530590153</v>
      </c>
      <c r="H85" s="119">
        <f t="shared" ref="H85" si="24">TRUNC(F85*(1+G85),2)</f>
        <v>69.06</v>
      </c>
      <c r="I85" s="117">
        <f t="shared" ref="I85" si="25">TRUNC(E85*H85,2)</f>
        <v>207.18</v>
      </c>
      <c r="J85" s="21" t="s">
        <v>452</v>
      </c>
      <c r="K85" s="73"/>
    </row>
    <row r="86" spans="1:11">
      <c r="A86" s="122"/>
      <c r="B86" s="18"/>
      <c r="C86" s="16"/>
      <c r="D86" s="17"/>
      <c r="E86" s="18"/>
      <c r="F86" s="20"/>
      <c r="G86" s="20"/>
      <c r="H86" s="20"/>
      <c r="I86" s="18"/>
      <c r="J86" s="19"/>
    </row>
    <row r="87" spans="1:11">
      <c r="A87" s="31">
        <v>9</v>
      </c>
      <c r="B87" s="32" t="s">
        <v>15</v>
      </c>
      <c r="C87" s="33"/>
      <c r="D87" s="34"/>
      <c r="E87" s="35"/>
      <c r="F87" s="39"/>
      <c r="G87" s="39"/>
      <c r="H87" s="40"/>
      <c r="I87" s="37">
        <f>I88+I98</f>
        <v>2931.42</v>
      </c>
      <c r="J87" s="38"/>
      <c r="K87" s="133">
        <f>I87/I$138</f>
        <v>1.21608675734385E-2</v>
      </c>
    </row>
    <row r="88" spans="1:11">
      <c r="A88" s="114"/>
      <c r="B88" s="9" t="s">
        <v>17</v>
      </c>
      <c r="C88" s="23"/>
      <c r="D88" s="17"/>
      <c r="E88" s="18"/>
      <c r="F88" s="20"/>
      <c r="G88" s="20"/>
      <c r="H88" s="24"/>
      <c r="I88" s="8">
        <f>SUM(I90:I96)</f>
        <v>770.59</v>
      </c>
      <c r="J88" s="7"/>
    </row>
    <row r="89" spans="1:11">
      <c r="A89" s="114"/>
      <c r="B89" s="10" t="s">
        <v>22</v>
      </c>
      <c r="C89" s="23"/>
      <c r="D89" s="17"/>
      <c r="E89" s="18"/>
      <c r="F89" s="20"/>
      <c r="G89" s="20"/>
      <c r="H89" s="20"/>
      <c r="I89" s="20"/>
      <c r="J89" s="19"/>
    </row>
    <row r="90" spans="1:11" ht="30">
      <c r="A90" s="114" t="s">
        <v>176</v>
      </c>
      <c r="B90" s="115" t="s">
        <v>1</v>
      </c>
      <c r="C90" s="5" t="s">
        <v>30</v>
      </c>
      <c r="D90" s="116" t="s">
        <v>23</v>
      </c>
      <c r="E90" s="112">
        <v>6.25</v>
      </c>
      <c r="F90" s="117">
        <v>11.18</v>
      </c>
      <c r="G90" s="124">
        <f>BDI!$B$23</f>
        <v>0.24873184530590153</v>
      </c>
      <c r="H90" s="119">
        <f t="shared" ref="H90:H91" si="26">TRUNC(F90*(1+G90),2)</f>
        <v>13.96</v>
      </c>
      <c r="I90" s="117">
        <f t="shared" ref="I90:I91" si="27">TRUNC(E90*H90,2)</f>
        <v>87.25</v>
      </c>
      <c r="J90" s="118" t="s">
        <v>223</v>
      </c>
    </row>
    <row r="91" spans="1:11" ht="28.5" customHeight="1">
      <c r="A91" s="114" t="s">
        <v>178</v>
      </c>
      <c r="B91" s="115" t="s">
        <v>1</v>
      </c>
      <c r="C91" s="5" t="s">
        <v>31</v>
      </c>
      <c r="D91" s="116" t="s">
        <v>23</v>
      </c>
      <c r="E91" s="112">
        <v>36.57</v>
      </c>
      <c r="F91" s="117">
        <v>13.29</v>
      </c>
      <c r="G91" s="124">
        <f>BDI!$B$23</f>
        <v>0.24873184530590153</v>
      </c>
      <c r="H91" s="119">
        <f t="shared" si="26"/>
        <v>16.59</v>
      </c>
      <c r="I91" s="117">
        <f t="shared" si="27"/>
        <v>606.69000000000005</v>
      </c>
      <c r="J91" s="118" t="s">
        <v>224</v>
      </c>
    </row>
    <row r="92" spans="1:11" ht="30" customHeight="1">
      <c r="A92" s="114"/>
      <c r="B92" s="10" t="s">
        <v>18</v>
      </c>
      <c r="C92" s="23"/>
      <c r="D92" s="17"/>
      <c r="E92" s="18"/>
      <c r="F92" s="20"/>
      <c r="G92" s="20"/>
      <c r="H92" s="20"/>
      <c r="I92" s="18"/>
      <c r="J92" s="19"/>
    </row>
    <row r="93" spans="1:11" ht="30">
      <c r="A93" s="114" t="s">
        <v>179</v>
      </c>
      <c r="B93" s="115" t="s">
        <v>59</v>
      </c>
      <c r="C93" s="5" t="s">
        <v>60</v>
      </c>
      <c r="D93" s="116" t="s">
        <v>14</v>
      </c>
      <c r="E93" s="112">
        <v>7</v>
      </c>
      <c r="F93" s="117">
        <v>4.54</v>
      </c>
      <c r="G93" s="124">
        <f>BDI!$B$23</f>
        <v>0.24873184530590153</v>
      </c>
      <c r="H93" s="119">
        <f t="shared" ref="H93:H96" si="28">TRUNC(F93*(1+G93),2)</f>
        <v>5.66</v>
      </c>
      <c r="I93" s="117">
        <f t="shared" ref="I93:I96" si="29">TRUNC(E93*H93,2)</f>
        <v>39.619999999999997</v>
      </c>
      <c r="J93" s="118" t="s">
        <v>225</v>
      </c>
    </row>
    <row r="94" spans="1:11" ht="30">
      <c r="A94" s="114" t="s">
        <v>180</v>
      </c>
      <c r="B94" s="115" t="s">
        <v>57</v>
      </c>
      <c r="C94" s="5" t="s">
        <v>58</v>
      </c>
      <c r="D94" s="116" t="s">
        <v>14</v>
      </c>
      <c r="E94" s="112">
        <v>2</v>
      </c>
      <c r="F94" s="117">
        <v>5.35</v>
      </c>
      <c r="G94" s="124">
        <f>BDI!$B$23</f>
        <v>0.24873184530590153</v>
      </c>
      <c r="H94" s="119">
        <f t="shared" si="28"/>
        <v>6.68</v>
      </c>
      <c r="I94" s="117">
        <f t="shared" si="29"/>
        <v>13.36</v>
      </c>
      <c r="J94" s="118" t="s">
        <v>226</v>
      </c>
    </row>
    <row r="95" spans="1:11" ht="30">
      <c r="A95" s="114" t="s">
        <v>342</v>
      </c>
      <c r="B95" s="115" t="s">
        <v>55</v>
      </c>
      <c r="C95" s="5" t="s">
        <v>56</v>
      </c>
      <c r="D95" s="116" t="s">
        <v>14</v>
      </c>
      <c r="E95" s="112">
        <v>1</v>
      </c>
      <c r="F95" s="117">
        <v>6.32</v>
      </c>
      <c r="G95" s="124">
        <f>BDI!$B$23</f>
        <v>0.24873184530590153</v>
      </c>
      <c r="H95" s="119">
        <f t="shared" si="28"/>
        <v>7.89</v>
      </c>
      <c r="I95" s="117">
        <f t="shared" si="29"/>
        <v>7.89</v>
      </c>
      <c r="J95" s="118" t="s">
        <v>227</v>
      </c>
    </row>
    <row r="96" spans="1:11" ht="30">
      <c r="A96" s="114" t="s">
        <v>343</v>
      </c>
      <c r="B96" s="115" t="s">
        <v>61</v>
      </c>
      <c r="C96" s="5" t="s">
        <v>62</v>
      </c>
      <c r="D96" s="116" t="s">
        <v>14</v>
      </c>
      <c r="E96" s="112">
        <v>2</v>
      </c>
      <c r="F96" s="117">
        <v>6.32</v>
      </c>
      <c r="G96" s="124">
        <f>BDI!$B$23</f>
        <v>0.24873184530590153</v>
      </c>
      <c r="H96" s="119">
        <f t="shared" si="28"/>
        <v>7.89</v>
      </c>
      <c r="I96" s="117">
        <f t="shared" si="29"/>
        <v>15.78</v>
      </c>
      <c r="J96" s="118" t="s">
        <v>228</v>
      </c>
    </row>
    <row r="97" spans="1:10">
      <c r="A97" s="122"/>
      <c r="B97" s="123"/>
      <c r="C97" s="16"/>
      <c r="D97" s="17"/>
      <c r="E97" s="18"/>
      <c r="F97" s="20"/>
      <c r="G97" s="20"/>
      <c r="H97" s="20"/>
      <c r="I97" s="20"/>
      <c r="J97" s="19"/>
    </row>
    <row r="98" spans="1:10">
      <c r="A98" s="114"/>
      <c r="B98" s="9" t="s">
        <v>16</v>
      </c>
      <c r="C98" s="23"/>
      <c r="D98" s="17"/>
      <c r="E98" s="18"/>
      <c r="F98" s="20"/>
      <c r="G98" s="20"/>
      <c r="H98" s="24"/>
      <c r="I98" s="8">
        <f>SUM(I100:I111)</f>
        <v>2160.83</v>
      </c>
      <c r="J98" s="7"/>
    </row>
    <row r="99" spans="1:10">
      <c r="A99" s="114"/>
      <c r="B99" s="10" t="s">
        <v>22</v>
      </c>
      <c r="C99" s="23"/>
      <c r="D99" s="17"/>
      <c r="E99" s="18"/>
      <c r="F99" s="20"/>
      <c r="G99" s="20"/>
      <c r="H99" s="20"/>
      <c r="I99" s="18"/>
      <c r="J99" s="19"/>
    </row>
    <row r="100" spans="1:10" ht="30">
      <c r="A100" s="114" t="s">
        <v>344</v>
      </c>
      <c r="B100" s="115" t="s">
        <v>2</v>
      </c>
      <c r="C100" s="5" t="s">
        <v>32</v>
      </c>
      <c r="D100" s="116" t="s">
        <v>23</v>
      </c>
      <c r="E100" s="112">
        <v>13.3</v>
      </c>
      <c r="F100" s="117">
        <v>12.34</v>
      </c>
      <c r="G100" s="124">
        <f>BDI!$B$23</f>
        <v>0.24873184530590153</v>
      </c>
      <c r="H100" s="119">
        <f t="shared" ref="H100:H102" si="30">TRUNC(F100*(1+G100),2)</f>
        <v>15.4</v>
      </c>
      <c r="I100" s="117">
        <f t="shared" ref="I100:I102" si="31">TRUNC(E100*H100,2)</f>
        <v>204.82</v>
      </c>
      <c r="J100" s="118" t="s">
        <v>229</v>
      </c>
    </row>
    <row r="101" spans="1:10" ht="30">
      <c r="A101" s="114" t="s">
        <v>345</v>
      </c>
      <c r="B101" s="115" t="s">
        <v>2</v>
      </c>
      <c r="C101" s="5" t="s">
        <v>33</v>
      </c>
      <c r="D101" s="116" t="s">
        <v>23</v>
      </c>
      <c r="E101" s="112">
        <v>3.43</v>
      </c>
      <c r="F101" s="117">
        <v>18.38</v>
      </c>
      <c r="G101" s="124">
        <f>BDI!$B$23</f>
        <v>0.24873184530590153</v>
      </c>
      <c r="H101" s="119">
        <f t="shared" si="30"/>
        <v>22.95</v>
      </c>
      <c r="I101" s="117">
        <f t="shared" si="31"/>
        <v>78.709999999999994</v>
      </c>
      <c r="J101" s="118" t="s">
        <v>230</v>
      </c>
    </row>
    <row r="102" spans="1:10" ht="30">
      <c r="A102" s="114" t="s">
        <v>346</v>
      </c>
      <c r="B102" s="115" t="s">
        <v>2</v>
      </c>
      <c r="C102" s="5" t="s">
        <v>34</v>
      </c>
      <c r="D102" s="116" t="s">
        <v>23</v>
      </c>
      <c r="E102" s="112">
        <v>33.39</v>
      </c>
      <c r="F102" s="117">
        <v>34.78</v>
      </c>
      <c r="G102" s="124">
        <f>BDI!$B$23</f>
        <v>0.24873184530590153</v>
      </c>
      <c r="H102" s="119">
        <f t="shared" si="30"/>
        <v>43.43</v>
      </c>
      <c r="I102" s="117">
        <f t="shared" si="31"/>
        <v>1450.12</v>
      </c>
      <c r="J102" s="118" t="s">
        <v>231</v>
      </c>
    </row>
    <row r="103" spans="1:10">
      <c r="A103" s="114"/>
      <c r="B103" s="10" t="s">
        <v>18</v>
      </c>
      <c r="C103" s="23"/>
      <c r="D103" s="17"/>
      <c r="E103" s="18"/>
      <c r="F103" s="20"/>
      <c r="G103" s="20"/>
      <c r="H103" s="20"/>
      <c r="I103" s="18"/>
      <c r="J103" s="19"/>
    </row>
    <row r="104" spans="1:10" ht="30">
      <c r="A104" s="114" t="s">
        <v>347</v>
      </c>
      <c r="B104" s="115" t="s">
        <v>36</v>
      </c>
      <c r="C104" s="5" t="s">
        <v>37</v>
      </c>
      <c r="D104" s="116" t="s">
        <v>14</v>
      </c>
      <c r="E104" s="112">
        <v>1</v>
      </c>
      <c r="F104" s="117">
        <v>16.47</v>
      </c>
      <c r="G104" s="124">
        <f>BDI!$B$23</f>
        <v>0.24873184530590153</v>
      </c>
      <c r="H104" s="119">
        <f t="shared" ref="H104:H111" si="32">TRUNC(F104*(1+G104),2)</f>
        <v>20.56</v>
      </c>
      <c r="I104" s="117">
        <f t="shared" ref="I104:I111" si="33">TRUNC(E104*H104,2)</f>
        <v>20.56</v>
      </c>
      <c r="J104" s="118" t="s">
        <v>232</v>
      </c>
    </row>
    <row r="105" spans="1:10" ht="30">
      <c r="A105" s="114" t="s">
        <v>348</v>
      </c>
      <c r="B105" s="115" t="s">
        <v>36</v>
      </c>
      <c r="C105" s="5" t="s">
        <v>38</v>
      </c>
      <c r="D105" s="116" t="s">
        <v>14</v>
      </c>
      <c r="E105" s="112">
        <v>1</v>
      </c>
      <c r="F105" s="117">
        <v>16.47</v>
      </c>
      <c r="G105" s="124">
        <f>BDI!$B$23</f>
        <v>0.24873184530590153</v>
      </c>
      <c r="H105" s="119">
        <f t="shared" si="32"/>
        <v>20.56</v>
      </c>
      <c r="I105" s="117">
        <f t="shared" si="33"/>
        <v>20.56</v>
      </c>
      <c r="J105" s="118" t="s">
        <v>233</v>
      </c>
    </row>
    <row r="106" spans="1:10" ht="45">
      <c r="A106" s="114" t="s">
        <v>349</v>
      </c>
      <c r="B106" s="115" t="s">
        <v>39</v>
      </c>
      <c r="C106" s="5" t="s">
        <v>40</v>
      </c>
      <c r="D106" s="116" t="s">
        <v>14</v>
      </c>
      <c r="E106" s="112">
        <v>2</v>
      </c>
      <c r="F106" s="117">
        <v>14.84</v>
      </c>
      <c r="G106" s="124">
        <f>BDI!$B$23</f>
        <v>0.24873184530590153</v>
      </c>
      <c r="H106" s="119">
        <f t="shared" si="32"/>
        <v>18.53</v>
      </c>
      <c r="I106" s="117">
        <f t="shared" si="33"/>
        <v>37.06</v>
      </c>
      <c r="J106" s="118" t="s">
        <v>234</v>
      </c>
    </row>
    <row r="107" spans="1:10" ht="30">
      <c r="A107" s="114" t="s">
        <v>350</v>
      </c>
      <c r="B107" s="115" t="s">
        <v>43</v>
      </c>
      <c r="C107" s="5" t="s">
        <v>41</v>
      </c>
      <c r="D107" s="116" t="s">
        <v>14</v>
      </c>
      <c r="E107" s="112">
        <v>4</v>
      </c>
      <c r="F107" s="117">
        <v>6.37</v>
      </c>
      <c r="G107" s="124">
        <f>BDI!$B$23</f>
        <v>0.24873184530590153</v>
      </c>
      <c r="H107" s="119">
        <f t="shared" si="32"/>
        <v>7.95</v>
      </c>
      <c r="I107" s="117">
        <f t="shared" si="33"/>
        <v>31.8</v>
      </c>
      <c r="J107" s="118" t="s">
        <v>235</v>
      </c>
    </row>
    <row r="108" spans="1:10" ht="30">
      <c r="A108" s="114" t="s">
        <v>351</v>
      </c>
      <c r="B108" s="115" t="s">
        <v>63</v>
      </c>
      <c r="C108" s="5" t="s">
        <v>42</v>
      </c>
      <c r="D108" s="116" t="s">
        <v>14</v>
      </c>
      <c r="E108" s="112">
        <v>2</v>
      </c>
      <c r="F108" s="117">
        <v>10.6</v>
      </c>
      <c r="G108" s="124">
        <f>BDI!$B$23</f>
        <v>0.24873184530590153</v>
      </c>
      <c r="H108" s="119">
        <f t="shared" si="32"/>
        <v>13.23</v>
      </c>
      <c r="I108" s="117">
        <f t="shared" si="33"/>
        <v>26.46</v>
      </c>
      <c r="J108" s="118" t="s">
        <v>236</v>
      </c>
    </row>
    <row r="109" spans="1:10" ht="45">
      <c r="A109" s="114" t="s">
        <v>352</v>
      </c>
      <c r="B109" s="115" t="s">
        <v>44</v>
      </c>
      <c r="C109" s="5" t="s">
        <v>40</v>
      </c>
      <c r="D109" s="116" t="s">
        <v>14</v>
      </c>
      <c r="E109" s="112">
        <v>4</v>
      </c>
      <c r="F109" s="117">
        <v>37.81</v>
      </c>
      <c r="G109" s="124">
        <f>BDI!$B$23</f>
        <v>0.24873184530590153</v>
      </c>
      <c r="H109" s="119">
        <f t="shared" si="32"/>
        <v>47.21</v>
      </c>
      <c r="I109" s="117">
        <f t="shared" si="33"/>
        <v>188.84</v>
      </c>
      <c r="J109" s="118" t="s">
        <v>237</v>
      </c>
    </row>
    <row r="110" spans="1:10" ht="45">
      <c r="A110" s="114" t="s">
        <v>353</v>
      </c>
      <c r="B110" s="115" t="s">
        <v>45</v>
      </c>
      <c r="C110" s="5" t="s">
        <v>46</v>
      </c>
      <c r="D110" s="116" t="s">
        <v>14</v>
      </c>
      <c r="E110" s="112">
        <v>1</v>
      </c>
      <c r="F110" s="117">
        <v>7.23</v>
      </c>
      <c r="G110" s="124">
        <f>BDI!$B$23</f>
        <v>0.24873184530590153</v>
      </c>
      <c r="H110" s="119">
        <f t="shared" si="32"/>
        <v>9.02</v>
      </c>
      <c r="I110" s="117">
        <f t="shared" si="33"/>
        <v>9.02</v>
      </c>
      <c r="J110" s="118" t="s">
        <v>238</v>
      </c>
    </row>
    <row r="111" spans="1:10" ht="45">
      <c r="A111" s="114" t="s">
        <v>354</v>
      </c>
      <c r="B111" s="115" t="s">
        <v>64</v>
      </c>
      <c r="C111" s="5" t="s">
        <v>47</v>
      </c>
      <c r="D111" s="116" t="s">
        <v>14</v>
      </c>
      <c r="E111" s="112">
        <v>3</v>
      </c>
      <c r="F111" s="117">
        <v>24.8</v>
      </c>
      <c r="G111" s="124">
        <f>BDI!$B$23</f>
        <v>0.24873184530590153</v>
      </c>
      <c r="H111" s="119">
        <f t="shared" si="32"/>
        <v>30.96</v>
      </c>
      <c r="I111" s="117">
        <f t="shared" si="33"/>
        <v>92.88</v>
      </c>
      <c r="J111" s="118" t="s">
        <v>239</v>
      </c>
    </row>
    <row r="112" spans="1:10">
      <c r="A112" s="114"/>
      <c r="B112" s="123"/>
      <c r="C112" s="16"/>
      <c r="D112" s="17"/>
      <c r="E112" s="18"/>
      <c r="F112" s="20"/>
      <c r="G112" s="20"/>
      <c r="H112" s="20"/>
      <c r="I112" s="18"/>
      <c r="J112" s="19"/>
    </row>
    <row r="113" spans="1:11">
      <c r="A113" s="31">
        <v>10</v>
      </c>
      <c r="B113" s="32" t="s">
        <v>48</v>
      </c>
      <c r="C113" s="33"/>
      <c r="D113" s="34"/>
      <c r="E113" s="35"/>
      <c r="F113" s="39"/>
      <c r="G113" s="39"/>
      <c r="H113" s="40"/>
      <c r="I113" s="37">
        <f>SUM(I114:I117)</f>
        <v>1263.32</v>
      </c>
      <c r="J113" s="38"/>
      <c r="K113" s="133">
        <f>I113/I$138</f>
        <v>5.2408277295223219E-3</v>
      </c>
    </row>
    <row r="114" spans="1:11" ht="30">
      <c r="A114" s="114" t="s">
        <v>355</v>
      </c>
      <c r="B114" s="115" t="s">
        <v>21</v>
      </c>
      <c r="C114" s="5" t="s">
        <v>154</v>
      </c>
      <c r="D114" s="116" t="s">
        <v>14</v>
      </c>
      <c r="E114" s="112">
        <v>1</v>
      </c>
      <c r="F114" s="117">
        <v>77.84</v>
      </c>
      <c r="G114" s="124">
        <f>BDI!$B$23</f>
        <v>0.24873184530590153</v>
      </c>
      <c r="H114" s="119">
        <f t="shared" ref="H114:H117" si="34">TRUNC(F114*(1+G114),2)</f>
        <v>97.2</v>
      </c>
      <c r="I114" s="117">
        <f t="shared" ref="I114:I117" si="35">TRUNC(E114*H114,2)</f>
        <v>97.2</v>
      </c>
      <c r="J114" s="118" t="s">
        <v>240</v>
      </c>
    </row>
    <row r="115" spans="1:11" ht="45">
      <c r="A115" s="114" t="s">
        <v>362</v>
      </c>
      <c r="B115" s="115" t="s">
        <v>52</v>
      </c>
      <c r="C115" s="5" t="s">
        <v>93</v>
      </c>
      <c r="D115" s="116" t="s">
        <v>14</v>
      </c>
      <c r="E115" s="112">
        <v>2</v>
      </c>
      <c r="F115" s="117">
        <v>305.52999999999997</v>
      </c>
      <c r="G115" s="124">
        <f>BDI!$B$23</f>
        <v>0.24873184530590153</v>
      </c>
      <c r="H115" s="119">
        <f t="shared" si="34"/>
        <v>381.52</v>
      </c>
      <c r="I115" s="117">
        <f t="shared" si="35"/>
        <v>763.04</v>
      </c>
      <c r="J115" s="118" t="s">
        <v>241</v>
      </c>
    </row>
    <row r="116" spans="1:11" ht="45">
      <c r="A116" s="114" t="s">
        <v>363</v>
      </c>
      <c r="B116" s="115" t="s">
        <v>53</v>
      </c>
      <c r="C116" s="5" t="s">
        <v>92</v>
      </c>
      <c r="D116" s="116" t="s">
        <v>14</v>
      </c>
      <c r="E116" s="112">
        <v>2</v>
      </c>
      <c r="F116" s="117">
        <v>137.93</v>
      </c>
      <c r="G116" s="124">
        <f>BDI!$B$23</f>
        <v>0.24873184530590153</v>
      </c>
      <c r="H116" s="119">
        <f t="shared" si="34"/>
        <v>172.23</v>
      </c>
      <c r="I116" s="117">
        <f t="shared" si="35"/>
        <v>344.46</v>
      </c>
      <c r="J116" s="118" t="s">
        <v>242</v>
      </c>
    </row>
    <row r="117" spans="1:11" ht="45">
      <c r="A117" s="114" t="s">
        <v>364</v>
      </c>
      <c r="B117" s="115" t="s">
        <v>54</v>
      </c>
      <c r="C117" s="5" t="s">
        <v>91</v>
      </c>
      <c r="D117" s="116" t="s">
        <v>14</v>
      </c>
      <c r="E117" s="112">
        <v>1</v>
      </c>
      <c r="F117" s="117">
        <v>46.95</v>
      </c>
      <c r="G117" s="124">
        <f>BDI!$B$23</f>
        <v>0.24873184530590153</v>
      </c>
      <c r="H117" s="119">
        <f t="shared" si="34"/>
        <v>58.62</v>
      </c>
      <c r="I117" s="117">
        <f t="shared" si="35"/>
        <v>58.62</v>
      </c>
      <c r="J117" s="118" t="s">
        <v>243</v>
      </c>
    </row>
    <row r="118" spans="1:11">
      <c r="A118" s="122"/>
      <c r="B118" s="123"/>
      <c r="C118" s="16"/>
      <c r="D118" s="17"/>
      <c r="E118" s="18"/>
      <c r="F118" s="20"/>
      <c r="G118" s="20"/>
      <c r="H118" s="20"/>
      <c r="I118" s="18"/>
      <c r="J118" s="19"/>
    </row>
    <row r="119" spans="1:11">
      <c r="A119" s="31">
        <v>11</v>
      </c>
      <c r="B119" s="32" t="s">
        <v>19</v>
      </c>
      <c r="C119" s="33"/>
      <c r="D119" s="34"/>
      <c r="E119" s="35"/>
      <c r="F119" s="39"/>
      <c r="G119" s="39"/>
      <c r="H119" s="40"/>
      <c r="I119" s="37">
        <f>SUM(I120)</f>
        <v>336.73</v>
      </c>
      <c r="J119" s="38"/>
      <c r="K119" s="133">
        <f>I119/I$138</f>
        <v>1.3969096676709398E-3</v>
      </c>
    </row>
    <row r="120" spans="1:11" ht="60">
      <c r="A120" s="121" t="s">
        <v>356</v>
      </c>
      <c r="B120" s="11" t="s">
        <v>20</v>
      </c>
      <c r="C120" s="12" t="s">
        <v>153</v>
      </c>
      <c r="D120" s="13" t="s">
        <v>14</v>
      </c>
      <c r="E120" s="125">
        <v>1</v>
      </c>
      <c r="F120" s="15">
        <v>269.66000000000003</v>
      </c>
      <c r="G120" s="124">
        <f>BDI!$B$23</f>
        <v>0.24873184530590153</v>
      </c>
      <c r="H120" s="119">
        <f>TRUNC(F120*(1+G120),2)</f>
        <v>336.73</v>
      </c>
      <c r="I120" s="117">
        <f>TRUNC(E120*H120,2)</f>
        <v>336.73</v>
      </c>
      <c r="J120" s="26" t="s">
        <v>244</v>
      </c>
    </row>
    <row r="121" spans="1:11">
      <c r="A121" s="218"/>
      <c r="B121" s="108"/>
      <c r="C121" s="110"/>
      <c r="D121" s="109"/>
      <c r="E121" s="77"/>
      <c r="F121" s="77"/>
      <c r="G121" s="77"/>
      <c r="H121" s="77"/>
      <c r="I121" s="77"/>
      <c r="J121" s="209"/>
    </row>
    <row r="122" spans="1:11">
      <c r="A122" s="31">
        <v>12</v>
      </c>
      <c r="B122" s="32" t="s">
        <v>175</v>
      </c>
      <c r="C122" s="33"/>
      <c r="D122" s="34"/>
      <c r="E122" s="35"/>
      <c r="F122" s="39"/>
      <c r="G122" s="39"/>
      <c r="H122" s="40"/>
      <c r="I122" s="37">
        <f>SUM(I123:I127)</f>
        <v>4398.54</v>
      </c>
      <c r="J122" s="38"/>
      <c r="K122" s="133">
        <f>I122/I$138</f>
        <v>1.8247150683447674E-2</v>
      </c>
    </row>
    <row r="123" spans="1:11" ht="60">
      <c r="A123" s="122" t="s">
        <v>357</v>
      </c>
      <c r="B123" s="123" t="s">
        <v>371</v>
      </c>
      <c r="C123" s="16"/>
      <c r="D123" s="116" t="s">
        <v>13</v>
      </c>
      <c r="E123" s="113">
        <f>E124</f>
        <v>82.2</v>
      </c>
      <c r="F123" s="20">
        <v>3.55</v>
      </c>
      <c r="G123" s="124">
        <f>BDI!$B$23</f>
        <v>0.24873184530590153</v>
      </c>
      <c r="H123" s="119">
        <f>TRUNC(F123*(1+G123),2)</f>
        <v>4.43</v>
      </c>
      <c r="I123" s="117">
        <f>TRUNC(E123*H123,2)</f>
        <v>364.14</v>
      </c>
      <c r="J123" s="21" t="s">
        <v>308</v>
      </c>
    </row>
    <row r="124" spans="1:11" ht="60">
      <c r="A124" s="122" t="s">
        <v>358</v>
      </c>
      <c r="B124" s="115" t="s">
        <v>177</v>
      </c>
      <c r="C124" s="5"/>
      <c r="D124" s="116" t="s">
        <v>13</v>
      </c>
      <c r="E124" s="112">
        <f>(E39+E40)*2</f>
        <v>82.2</v>
      </c>
      <c r="F124" s="117">
        <v>24.61</v>
      </c>
      <c r="G124" s="124">
        <f>BDI!$B$23</f>
        <v>0.24873184530590153</v>
      </c>
      <c r="H124" s="119">
        <f>TRUNC(F124*(1+G124),2)</f>
        <v>30.73</v>
      </c>
      <c r="I124" s="117">
        <f>TRUNC(E124*H124,2)</f>
        <v>2526</v>
      </c>
      <c r="J124" s="118" t="s">
        <v>245</v>
      </c>
    </row>
    <row r="125" spans="1:11">
      <c r="A125" s="122" t="s">
        <v>359</v>
      </c>
      <c r="B125" s="115" t="s">
        <v>181</v>
      </c>
      <c r="C125" s="5"/>
      <c r="D125" s="116" t="s">
        <v>13</v>
      </c>
      <c r="E125" s="112">
        <v>82.2</v>
      </c>
      <c r="F125" s="117">
        <v>2.74</v>
      </c>
      <c r="G125" s="124">
        <f>BDI!$B$23</f>
        <v>0.24873184530590153</v>
      </c>
      <c r="H125" s="119">
        <f t="shared" ref="H125:H127" si="36">TRUNC(F125*(1+G125),2)</f>
        <v>3.42</v>
      </c>
      <c r="I125" s="117">
        <f>TRUNC(E125*H125,2)</f>
        <v>281.12</v>
      </c>
      <c r="J125" s="118" t="s">
        <v>246</v>
      </c>
    </row>
    <row r="126" spans="1:11" ht="30">
      <c r="A126" s="122" t="s">
        <v>360</v>
      </c>
      <c r="B126" s="115" t="s">
        <v>182</v>
      </c>
      <c r="C126" s="5"/>
      <c r="D126" s="116" t="s">
        <v>13</v>
      </c>
      <c r="E126" s="112">
        <v>82.2</v>
      </c>
      <c r="F126" s="117">
        <v>8.84</v>
      </c>
      <c r="G126" s="124">
        <f>BDI!$B$23</f>
        <v>0.24873184530590153</v>
      </c>
      <c r="H126" s="119">
        <f t="shared" si="36"/>
        <v>11.03</v>
      </c>
      <c r="I126" s="117">
        <f t="shared" ref="I126:I127" si="37">TRUNC(E126*H126,2)</f>
        <v>906.66</v>
      </c>
      <c r="J126" s="118" t="s">
        <v>247</v>
      </c>
    </row>
    <row r="127" spans="1:11" ht="30">
      <c r="A127" s="122" t="s">
        <v>361</v>
      </c>
      <c r="B127" s="115" t="s">
        <v>183</v>
      </c>
      <c r="C127" s="5"/>
      <c r="D127" s="116" t="s">
        <v>13</v>
      </c>
      <c r="E127" s="112">
        <f>4.5*3</f>
        <v>13.5</v>
      </c>
      <c r="F127" s="117">
        <v>19.02</v>
      </c>
      <c r="G127" s="124">
        <f>BDI!$B$23</f>
        <v>0.24873184530590153</v>
      </c>
      <c r="H127" s="119">
        <f t="shared" si="36"/>
        <v>23.75</v>
      </c>
      <c r="I127" s="117">
        <f t="shared" si="37"/>
        <v>320.62</v>
      </c>
      <c r="J127" s="118" t="s">
        <v>248</v>
      </c>
    </row>
    <row r="128" spans="1:11">
      <c r="A128" s="114"/>
      <c r="B128" s="115"/>
      <c r="C128" s="5"/>
      <c r="D128" s="116"/>
      <c r="E128" s="112"/>
      <c r="F128" s="117"/>
      <c r="G128" s="124"/>
      <c r="H128" s="119"/>
      <c r="I128" s="117"/>
      <c r="J128" s="118"/>
    </row>
    <row r="129" spans="1:11" s="127" customFormat="1">
      <c r="A129" s="31">
        <v>13</v>
      </c>
      <c r="B129" s="32" t="s">
        <v>307</v>
      </c>
      <c r="C129" s="33"/>
      <c r="D129" s="34"/>
      <c r="E129" s="35"/>
      <c r="F129" s="39"/>
      <c r="G129" s="39"/>
      <c r="H129" s="40"/>
      <c r="I129" s="37">
        <f>SUM(I130:I135)</f>
        <v>1627.21</v>
      </c>
      <c r="J129" s="38"/>
      <c r="K129" s="133">
        <f>I129/I138</f>
        <v>6.750409468508389E-3</v>
      </c>
    </row>
    <row r="130" spans="1:11">
      <c r="A130" s="114" t="s">
        <v>365</v>
      </c>
      <c r="B130" s="115" t="s">
        <v>249</v>
      </c>
      <c r="C130" s="5"/>
      <c r="D130" s="116" t="s">
        <v>13</v>
      </c>
      <c r="E130" s="112">
        <v>215.07</v>
      </c>
      <c r="F130" s="117">
        <v>1.78</v>
      </c>
      <c r="G130" s="124">
        <f>BDI!$B$23</f>
        <v>0.24873184530590153</v>
      </c>
      <c r="H130" s="119">
        <f t="shared" ref="H130" si="38">TRUNC(F130*(1+G130),2)</f>
        <v>2.2200000000000002</v>
      </c>
      <c r="I130" s="117">
        <f t="shared" ref="I130" si="39">TRUNC(E130*H130,2)</f>
        <v>477.45</v>
      </c>
      <c r="J130" s="118" t="s">
        <v>195</v>
      </c>
    </row>
    <row r="131" spans="1:11" ht="30">
      <c r="A131" s="114" t="s">
        <v>366</v>
      </c>
      <c r="B131" s="115" t="s">
        <v>192</v>
      </c>
      <c r="C131" s="5"/>
      <c r="D131" s="116" t="s">
        <v>23</v>
      </c>
      <c r="E131" s="112">
        <f>E90+E91+E100+E101</f>
        <v>59.550000000000004</v>
      </c>
      <c r="F131" s="117">
        <v>7.89</v>
      </c>
      <c r="G131" s="124">
        <f>BDI!$B$23</f>
        <v>0.24873184530590153</v>
      </c>
      <c r="H131" s="119">
        <f>TRUNC(F131*(1+G131),2)</f>
        <v>9.85</v>
      </c>
      <c r="I131" s="117">
        <f t="shared" ref="I131" si="40">TRUNC(E131*H131,2)</f>
        <v>586.55999999999995</v>
      </c>
      <c r="J131" s="118" t="s">
        <v>191</v>
      </c>
    </row>
    <row r="132" spans="1:11">
      <c r="A132" s="114" t="s">
        <v>367</v>
      </c>
      <c r="B132" s="115" t="s">
        <v>251</v>
      </c>
      <c r="C132" s="5"/>
      <c r="D132" s="116" t="s">
        <v>190</v>
      </c>
      <c r="E132" s="112">
        <v>1</v>
      </c>
      <c r="F132" s="117">
        <v>16.32</v>
      </c>
      <c r="G132" s="124">
        <f>BDI!$B$23</f>
        <v>0.24873184530590153</v>
      </c>
      <c r="H132" s="119">
        <f t="shared" ref="H132:H134" si="41">TRUNC(F132*(1+G132),2)</f>
        <v>20.37</v>
      </c>
      <c r="I132" s="117">
        <f t="shared" ref="I132:I134" si="42">TRUNC(E132*H132,2)</f>
        <v>20.37</v>
      </c>
      <c r="J132" s="118" t="s">
        <v>250</v>
      </c>
    </row>
    <row r="133" spans="1:11">
      <c r="A133" s="114" t="s">
        <v>368</v>
      </c>
      <c r="B133" s="115" t="s">
        <v>252</v>
      </c>
      <c r="C133" s="5"/>
      <c r="D133" s="116" t="s">
        <v>190</v>
      </c>
      <c r="E133" s="112">
        <v>1</v>
      </c>
      <c r="F133" s="117">
        <v>41.39</v>
      </c>
      <c r="G133" s="124">
        <f>BDI!$B$23</f>
        <v>0.24873184530590153</v>
      </c>
      <c r="H133" s="119">
        <f t="shared" si="41"/>
        <v>51.68</v>
      </c>
      <c r="I133" s="117">
        <f t="shared" si="42"/>
        <v>51.68</v>
      </c>
      <c r="J133" s="118" t="s">
        <v>253</v>
      </c>
    </row>
    <row r="134" spans="1:11" ht="30">
      <c r="A134" s="114" t="s">
        <v>369</v>
      </c>
      <c r="B134" s="115" t="s">
        <v>373</v>
      </c>
      <c r="C134" s="5"/>
      <c r="D134" s="116" t="s">
        <v>374</v>
      </c>
      <c r="E134" s="112">
        <v>10</v>
      </c>
      <c r="F134" s="126">
        <v>1.1000000000000001</v>
      </c>
      <c r="G134" s="124">
        <f>BDI!$B$23</f>
        <v>0.24873184530590153</v>
      </c>
      <c r="H134" s="119">
        <f t="shared" si="41"/>
        <v>1.37</v>
      </c>
      <c r="I134" s="117">
        <f t="shared" si="42"/>
        <v>13.7</v>
      </c>
      <c r="J134" s="118" t="s">
        <v>372</v>
      </c>
    </row>
    <row r="135" spans="1:11">
      <c r="A135" s="114" t="s">
        <v>370</v>
      </c>
      <c r="B135" s="115" t="s">
        <v>196</v>
      </c>
      <c r="C135" s="5"/>
      <c r="D135" s="116" t="s">
        <v>13</v>
      </c>
      <c r="E135" s="112">
        <v>215.07</v>
      </c>
      <c r="F135" s="117">
        <v>1.78</v>
      </c>
      <c r="G135" s="124">
        <f>BDI!$B$23</f>
        <v>0.24873184530590153</v>
      </c>
      <c r="H135" s="119">
        <f>TRUNC(F135*(1+G135),2)</f>
        <v>2.2200000000000002</v>
      </c>
      <c r="I135" s="117">
        <f>TRUNC(E135*H135,2)</f>
        <v>477.45</v>
      </c>
      <c r="J135" s="118" t="s">
        <v>195</v>
      </c>
    </row>
    <row r="136" spans="1:11">
      <c r="A136" s="121"/>
      <c r="B136" s="11"/>
      <c r="C136" s="12"/>
      <c r="D136" s="13"/>
      <c r="E136" s="14"/>
      <c r="F136" s="15"/>
      <c r="G136" s="124"/>
      <c r="H136" s="119"/>
      <c r="I136" s="117"/>
      <c r="J136" s="26"/>
    </row>
    <row r="137" spans="1:11">
      <c r="A137" s="63"/>
      <c r="B137" s="64"/>
      <c r="C137" s="65"/>
      <c r="D137" s="66"/>
      <c r="E137" s="67"/>
      <c r="F137" s="68"/>
      <c r="G137" s="69"/>
      <c r="H137" s="70"/>
      <c r="I137" s="71"/>
      <c r="J137" s="72"/>
    </row>
    <row r="138" spans="1:11" s="22" customFormat="1">
      <c r="A138" s="41" t="s">
        <v>131</v>
      </c>
      <c r="B138" s="42" t="s">
        <v>158</v>
      </c>
      <c r="C138" s="43"/>
      <c r="D138" s="44" t="s">
        <v>67</v>
      </c>
      <c r="E138" s="52"/>
      <c r="F138" s="53"/>
      <c r="G138" s="53"/>
      <c r="H138" s="54"/>
      <c r="I138" s="45">
        <f>I9+I18+I26+I28+I37+I42+I49+I55+I87+I113+I119+I122+I129</f>
        <v>241053.52535889324</v>
      </c>
      <c r="J138" s="46"/>
      <c r="K138" s="179">
        <f>SUM(K9:K136)</f>
        <v>0.99999999999999967</v>
      </c>
    </row>
    <row r="139" spans="1:11">
      <c r="A139" s="218"/>
      <c r="B139" s="108"/>
      <c r="C139" s="110"/>
      <c r="D139" s="109"/>
      <c r="E139" s="77"/>
      <c r="F139" s="77"/>
      <c r="G139" s="77"/>
      <c r="H139" s="77"/>
      <c r="I139" s="77"/>
      <c r="J139" s="209"/>
    </row>
    <row r="140" spans="1:11">
      <c r="A140" s="48" t="s">
        <v>132</v>
      </c>
      <c r="B140" s="49" t="s">
        <v>129</v>
      </c>
      <c r="C140" s="50"/>
      <c r="D140" s="51" t="s">
        <v>13</v>
      </c>
      <c r="E140" s="49">
        <v>215.47</v>
      </c>
      <c r="F140" s="55"/>
      <c r="G140" s="56"/>
      <c r="H140" s="56"/>
      <c r="I140" s="56"/>
      <c r="J140" s="57"/>
    </row>
    <row r="141" spans="1:11">
      <c r="A141" s="224"/>
      <c r="B141" s="225"/>
      <c r="C141" s="226"/>
      <c r="D141" s="227"/>
      <c r="E141" s="221"/>
      <c r="F141" s="221"/>
      <c r="G141" s="221"/>
      <c r="H141" s="221"/>
      <c r="I141" s="221"/>
      <c r="J141" s="228"/>
    </row>
    <row r="142" spans="1:11">
      <c r="A142" s="41" t="s">
        <v>159</v>
      </c>
      <c r="B142" s="42" t="s">
        <v>160</v>
      </c>
      <c r="C142" s="47" t="s">
        <v>133</v>
      </c>
      <c r="D142" s="44" t="s">
        <v>130</v>
      </c>
      <c r="E142" s="58"/>
      <c r="F142" s="59"/>
      <c r="G142" s="60"/>
      <c r="H142" s="45">
        <f>TRUNC(I138/E140,2)</f>
        <v>1118.73</v>
      </c>
      <c r="I142" s="58"/>
      <c r="J142" s="61"/>
    </row>
  </sheetData>
  <mergeCells count="1">
    <mergeCell ref="A2:J2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2" orientation="landscape" verticalDpi="598" r:id="rId1"/>
  <rowBreaks count="3" manualBreakCount="3">
    <brk id="66" max="9" man="1"/>
    <brk id="86" max="9" man="1"/>
    <brk id="112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view="pageBreakPreview" zoomScaleNormal="100" zoomScaleSheetLayoutView="100" workbookViewId="0">
      <selection activeCell="B24" sqref="B24"/>
    </sheetView>
  </sheetViews>
  <sheetFormatPr defaultRowHeight="15"/>
  <cols>
    <col min="1" max="1" width="55.7109375" customWidth="1"/>
    <col min="10" max="10" width="12.7109375" customWidth="1"/>
    <col min="11" max="13" width="12.28515625" customWidth="1"/>
  </cols>
  <sheetData>
    <row r="1" spans="1:15" ht="165">
      <c r="A1" s="1" t="s">
        <v>167</v>
      </c>
    </row>
    <row r="6" spans="1:15">
      <c r="A6" t="s">
        <v>166</v>
      </c>
    </row>
    <row r="8" spans="1:15">
      <c r="A8" t="s">
        <v>168</v>
      </c>
    </row>
    <row r="10" spans="1:15" ht="15.75" thickBot="1">
      <c r="A10" s="301"/>
      <c r="B10" s="301"/>
      <c r="C10" s="301"/>
      <c r="D10" s="301"/>
      <c r="E10" s="301"/>
      <c r="F10" s="300" t="s">
        <v>490</v>
      </c>
      <c r="G10" s="300"/>
      <c r="H10" s="300"/>
      <c r="I10" s="300"/>
      <c r="J10" s="300"/>
      <c r="K10" s="300"/>
      <c r="L10" s="300"/>
      <c r="M10" s="300"/>
      <c r="N10" s="281"/>
      <c r="O10" s="281"/>
    </row>
    <row r="11" spans="1:15" s="282" customFormat="1" ht="46.5" customHeight="1">
      <c r="F11" s="304" t="s">
        <v>511</v>
      </c>
      <c r="G11" s="305"/>
      <c r="H11" s="305"/>
      <c r="I11" s="305"/>
      <c r="J11" s="296" t="s">
        <v>503</v>
      </c>
      <c r="K11" s="296" t="s">
        <v>504</v>
      </c>
      <c r="L11" s="296" t="s">
        <v>505</v>
      </c>
      <c r="M11" s="297" t="s">
        <v>506</v>
      </c>
      <c r="N11" s="283"/>
      <c r="O11" s="283"/>
    </row>
    <row r="12" spans="1:15">
      <c r="F12" s="286" t="s">
        <v>491</v>
      </c>
      <c r="G12" s="302" t="s">
        <v>497</v>
      </c>
      <c r="H12" s="302"/>
      <c r="I12" s="302"/>
      <c r="J12" s="285">
        <v>0.04</v>
      </c>
      <c r="K12" s="285">
        <v>0.03</v>
      </c>
      <c r="L12" s="285">
        <v>0.05</v>
      </c>
      <c r="M12" s="287">
        <v>0.04</v>
      </c>
    </row>
    <row r="13" spans="1:15">
      <c r="F13" s="286" t="s">
        <v>492</v>
      </c>
      <c r="G13" s="302" t="s">
        <v>498</v>
      </c>
      <c r="H13" s="302"/>
      <c r="I13" s="302"/>
      <c r="J13" s="285">
        <v>8.0000000000000002E-3</v>
      </c>
      <c r="K13" s="285">
        <v>8.0000000000000002E-3</v>
      </c>
      <c r="L13" s="285">
        <v>0.01</v>
      </c>
      <c r="M13" s="287">
        <v>8.0000000000000002E-3</v>
      </c>
    </row>
    <row r="14" spans="1:15">
      <c r="F14" s="286" t="s">
        <v>493</v>
      </c>
      <c r="G14" s="302" t="s">
        <v>499</v>
      </c>
      <c r="H14" s="302"/>
      <c r="I14" s="302"/>
      <c r="J14" s="285">
        <v>1.2699999999999999E-2</v>
      </c>
      <c r="K14" s="285">
        <v>9.7000000000000003E-3</v>
      </c>
      <c r="L14" s="285">
        <v>1.2699999999999999E-2</v>
      </c>
      <c r="M14" s="287">
        <v>1.2699999999999999E-2</v>
      </c>
    </row>
    <row r="15" spans="1:15">
      <c r="F15" s="286" t="s">
        <v>494</v>
      </c>
      <c r="G15" s="302" t="s">
        <v>500</v>
      </c>
      <c r="H15" s="302"/>
      <c r="I15" s="302"/>
      <c r="J15" s="285">
        <v>1.23E-2</v>
      </c>
      <c r="K15" s="285">
        <v>5.8999999999999999E-3</v>
      </c>
      <c r="L15" s="285">
        <v>1.3899999999999999E-2</v>
      </c>
      <c r="M15" s="287">
        <v>1.23E-2</v>
      </c>
    </row>
    <row r="16" spans="1:15">
      <c r="F16" s="286" t="s">
        <v>495</v>
      </c>
      <c r="G16" s="302" t="s">
        <v>501</v>
      </c>
      <c r="H16" s="302"/>
      <c r="I16" s="302"/>
      <c r="J16" s="285">
        <v>7.3999999999999996E-2</v>
      </c>
      <c r="K16" s="285">
        <v>6.1600000000000002E-2</v>
      </c>
      <c r="L16" s="285">
        <v>8.9599999999999999E-2</v>
      </c>
      <c r="M16" s="287">
        <v>7.3999999999999996E-2</v>
      </c>
    </row>
    <row r="17" spans="1:13" ht="15.75" thickBot="1">
      <c r="F17" s="288" t="s">
        <v>496</v>
      </c>
      <c r="G17" s="303" t="s">
        <v>502</v>
      </c>
      <c r="H17" s="303"/>
      <c r="I17" s="303"/>
      <c r="J17" s="289">
        <f>J26</f>
        <v>7.6499999999999999E-2</v>
      </c>
      <c r="K17" s="289">
        <f>J17</f>
        <v>7.6499999999999999E-2</v>
      </c>
      <c r="L17" s="289">
        <f>K17</f>
        <v>7.6499999999999999E-2</v>
      </c>
      <c r="M17" s="290">
        <f>L17</f>
        <v>7.6499999999999999E-2</v>
      </c>
    </row>
    <row r="18" spans="1:13" ht="5.25" customHeight="1"/>
    <row r="19" spans="1:13" ht="15.75" customHeight="1" thickBot="1">
      <c r="F19" s="300" t="s">
        <v>512</v>
      </c>
      <c r="G19" s="300"/>
      <c r="H19" s="300"/>
      <c r="I19" s="300"/>
      <c r="J19" s="298">
        <f>(((1+J12+J14+J13)*(1+J15)*(1+J16))/(1-J17))-1</f>
        <v>0.24873184530590153</v>
      </c>
      <c r="K19" s="298">
        <f t="shared" ref="K19:M19" si="0">(((1+K12+K14+K13)*(1+K15)*(1+K16))/(1-K17))-1</f>
        <v>0.21147864221765067</v>
      </c>
      <c r="L19" s="298">
        <f t="shared" si="0"/>
        <v>0.2832273237552787</v>
      </c>
      <c r="M19" s="298">
        <f t="shared" si="0"/>
        <v>0.24873184530590153</v>
      </c>
    </row>
    <row r="21" spans="1:13" ht="15.75" thickBot="1"/>
    <row r="22" spans="1:13">
      <c r="I22" s="291" t="s">
        <v>507</v>
      </c>
      <c r="J22" s="292">
        <v>0.02</v>
      </c>
    </row>
    <row r="23" spans="1:13">
      <c r="A23" s="2" t="s">
        <v>174</v>
      </c>
      <c r="B23" s="62">
        <f>J19</f>
        <v>0.24873184530590153</v>
      </c>
      <c r="I23" s="293" t="s">
        <v>508</v>
      </c>
      <c r="J23" s="287">
        <v>6.4999999999999997E-3</v>
      </c>
    </row>
    <row r="24" spans="1:13">
      <c r="I24" s="293" t="s">
        <v>509</v>
      </c>
      <c r="J24" s="287">
        <v>0.03</v>
      </c>
    </row>
    <row r="25" spans="1:13" ht="15.75" thickBot="1">
      <c r="I25" s="294" t="s">
        <v>510</v>
      </c>
      <c r="J25" s="295">
        <v>0.02</v>
      </c>
    </row>
    <row r="26" spans="1:13">
      <c r="J26" s="284">
        <f>SUM(J22:J25)</f>
        <v>7.6499999999999999E-2</v>
      </c>
    </row>
  </sheetData>
  <mergeCells count="10">
    <mergeCell ref="F19:I19"/>
    <mergeCell ref="A10:E10"/>
    <mergeCell ref="G12:I12"/>
    <mergeCell ref="G13:I13"/>
    <mergeCell ref="F10:M10"/>
    <mergeCell ref="G14:I14"/>
    <mergeCell ref="G15:I15"/>
    <mergeCell ref="G16:I16"/>
    <mergeCell ref="G17:I17"/>
    <mergeCell ref="F11:I11"/>
  </mergeCells>
  <pageMargins left="0.511811024" right="0.511811024" top="0.78740157499999996" bottom="0.78740157499999996" header="0.31496062000000002" footer="0.31496062000000002"/>
  <pageSetup paperSize="9" scale="99" orientation="portrait" verticalDpi="598" r:id="rId1"/>
  <legacyDrawing r:id="rId2"/>
  <oleObjects>
    <oleObject progId="Equation.3" shapeId="3075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U141"/>
  <sheetViews>
    <sheetView view="pageBreakPreview" zoomScale="90" zoomScaleNormal="100" zoomScaleSheetLayoutView="90" workbookViewId="0">
      <pane ySplit="8" topLeftCell="A9" activePane="bottomLeft" state="frozen"/>
      <selection pane="bottomLeft" activeCell="G33" sqref="G33"/>
    </sheetView>
  </sheetViews>
  <sheetFormatPr defaultRowHeight="15"/>
  <cols>
    <col min="1" max="1" width="15.7109375" style="218" bestFit="1" customWidth="1"/>
    <col min="2" max="2" width="65.42578125" style="108" customWidth="1"/>
    <col min="3" max="3" width="15.85546875" style="110" customWidth="1"/>
    <col min="4" max="4" width="7.42578125" style="109" customWidth="1"/>
    <col min="5" max="5" width="12.28515625" style="77" customWidth="1"/>
    <col min="6" max="6" width="14.28515625" style="77" customWidth="1"/>
    <col min="7" max="8" width="12.28515625" style="77" customWidth="1"/>
    <col min="9" max="9" width="17.5703125" style="77" bestFit="1" customWidth="1"/>
    <col min="10" max="10" width="24.140625" style="77" customWidth="1"/>
    <col min="11" max="11" width="15.7109375" style="75" customWidth="1"/>
    <col min="12" max="61" width="15.7109375" style="77" customWidth="1"/>
    <col min="62" max="16384" width="9.140625" style="77"/>
  </cols>
  <sheetData>
    <row r="1" spans="1:21" s="205" customFormat="1">
      <c r="A1" s="201"/>
      <c r="B1" s="202"/>
      <c r="C1" s="203"/>
      <c r="D1" s="204"/>
      <c r="K1" s="206"/>
      <c r="R1" s="207"/>
    </row>
    <row r="2" spans="1:21" s="215" customFormat="1" ht="30" customHeight="1">
      <c r="A2" s="307" t="s">
        <v>440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308"/>
    </row>
    <row r="3" spans="1:21" ht="37.5" customHeight="1">
      <c r="A3" s="208" t="s">
        <v>444</v>
      </c>
      <c r="B3" s="309" t="s">
        <v>443</v>
      </c>
      <c r="C3" s="309"/>
      <c r="D3" s="309"/>
      <c r="E3" s="309"/>
      <c r="F3" s="309"/>
      <c r="G3" s="309"/>
      <c r="H3" s="309"/>
      <c r="I3" s="309"/>
      <c r="J3" s="309"/>
      <c r="K3" s="309"/>
      <c r="R3" s="209"/>
      <c r="T3" s="230"/>
    </row>
    <row r="4" spans="1:21">
      <c r="A4" s="208" t="s">
        <v>161</v>
      </c>
      <c r="B4" s="210">
        <v>42353</v>
      </c>
      <c r="R4" s="209"/>
    </row>
    <row r="5" spans="1:21">
      <c r="A5" s="208" t="s">
        <v>169</v>
      </c>
      <c r="B5" s="211" t="s">
        <v>439</v>
      </c>
      <c r="R5" s="209"/>
    </row>
    <row r="6" spans="1:21">
      <c r="A6" s="212" t="s">
        <v>162</v>
      </c>
      <c r="B6" s="195" t="s">
        <v>163</v>
      </c>
      <c r="C6" s="196"/>
      <c r="D6" s="194"/>
      <c r="E6" s="197"/>
      <c r="F6" s="197"/>
      <c r="G6" s="197"/>
      <c r="H6" s="197"/>
      <c r="I6" s="197"/>
      <c r="J6" s="197"/>
      <c r="K6" s="213"/>
      <c r="L6" s="197"/>
      <c r="M6" s="197"/>
      <c r="N6" s="197"/>
      <c r="O6" s="197"/>
      <c r="P6" s="197"/>
      <c r="Q6" s="197"/>
      <c r="R6" s="214"/>
    </row>
    <row r="7" spans="1:21" ht="45">
      <c r="A7" s="27" t="s">
        <v>6</v>
      </c>
      <c r="B7" s="28" t="s">
        <v>7</v>
      </c>
      <c r="C7" s="28" t="s">
        <v>90</v>
      </c>
      <c r="D7" s="29" t="s">
        <v>8</v>
      </c>
      <c r="E7" s="29" t="s">
        <v>9</v>
      </c>
      <c r="F7" s="28" t="s">
        <v>173</v>
      </c>
      <c r="G7" s="28" t="s">
        <v>164</v>
      </c>
      <c r="H7" s="28" t="s">
        <v>111</v>
      </c>
      <c r="I7" s="28" t="s">
        <v>165</v>
      </c>
      <c r="J7" s="186" t="s">
        <v>10</v>
      </c>
      <c r="K7" s="306" t="s">
        <v>184</v>
      </c>
      <c r="L7" s="306"/>
      <c r="M7" s="306" t="s">
        <v>187</v>
      </c>
      <c r="N7" s="306"/>
      <c r="O7" s="306" t="s">
        <v>186</v>
      </c>
      <c r="P7" s="306"/>
      <c r="Q7" s="306" t="s">
        <v>185</v>
      </c>
      <c r="R7" s="306"/>
      <c r="T7" s="75"/>
    </row>
    <row r="8" spans="1:21">
      <c r="A8" s="180"/>
      <c r="B8" s="181"/>
      <c r="C8" s="182"/>
      <c r="D8" s="183"/>
      <c r="E8" s="183"/>
      <c r="F8" s="184"/>
      <c r="G8" s="184"/>
      <c r="H8" s="185"/>
      <c r="I8" s="181"/>
      <c r="J8" s="182"/>
      <c r="K8" s="187" t="s">
        <v>441</v>
      </c>
      <c r="L8" s="188" t="s">
        <v>442</v>
      </c>
      <c r="M8" s="187" t="s">
        <v>441</v>
      </c>
      <c r="N8" s="188" t="s">
        <v>442</v>
      </c>
      <c r="O8" s="187" t="s">
        <v>441</v>
      </c>
      <c r="P8" s="188" t="s">
        <v>442</v>
      </c>
      <c r="Q8" s="187" t="s">
        <v>441</v>
      </c>
      <c r="R8" s="188" t="s">
        <v>442</v>
      </c>
      <c r="T8" s="75"/>
    </row>
    <row r="9" spans="1:21">
      <c r="A9" s="31">
        <v>1</v>
      </c>
      <c r="B9" s="32" t="s">
        <v>305</v>
      </c>
      <c r="C9" s="33"/>
      <c r="D9" s="34"/>
      <c r="E9" s="35"/>
      <c r="F9" s="35"/>
      <c r="G9" s="35"/>
      <c r="H9" s="36"/>
      <c r="I9" s="37">
        <f>SUM(I11:I16)</f>
        <v>54357.600000000006</v>
      </c>
      <c r="J9" s="38"/>
      <c r="K9" s="198"/>
      <c r="L9" s="199"/>
      <c r="M9" s="198"/>
      <c r="N9" s="199"/>
      <c r="O9" s="198"/>
      <c r="P9" s="199"/>
      <c r="Q9" s="198"/>
      <c r="R9" s="199"/>
      <c r="S9" s="216"/>
      <c r="T9" s="217">
        <f>I9/I$138</f>
        <v>0.22550012458465205</v>
      </c>
    </row>
    <row r="10" spans="1:21" s="75" customFormat="1">
      <c r="A10" s="114"/>
      <c r="B10" s="107" t="s">
        <v>280</v>
      </c>
      <c r="C10" s="5"/>
      <c r="D10" s="116"/>
      <c r="E10" s="6" t="s">
        <v>257</v>
      </c>
      <c r="F10" s="117"/>
      <c r="G10" s="124"/>
      <c r="H10" s="119"/>
      <c r="I10" s="117"/>
      <c r="J10" s="118"/>
      <c r="K10" s="190"/>
      <c r="L10" s="189"/>
      <c r="M10" s="190"/>
      <c r="N10" s="189"/>
      <c r="O10" s="190"/>
      <c r="P10" s="189"/>
      <c r="Q10" s="190"/>
      <c r="R10" s="189"/>
      <c r="S10" s="216"/>
    </row>
    <row r="11" spans="1:21" s="75" customFormat="1">
      <c r="A11" s="114"/>
      <c r="B11" s="107" t="s">
        <v>306</v>
      </c>
      <c r="C11" s="5"/>
      <c r="D11" s="116"/>
      <c r="E11" s="6"/>
      <c r="F11" s="117"/>
      <c r="G11" s="124"/>
      <c r="H11" s="117"/>
      <c r="I11" s="117"/>
      <c r="J11" s="118"/>
      <c r="K11" s="190"/>
      <c r="L11" s="189"/>
      <c r="M11" s="190"/>
      <c r="N11" s="189"/>
      <c r="O11" s="190"/>
      <c r="P11" s="189"/>
      <c r="Q11" s="190"/>
      <c r="R11" s="189"/>
      <c r="S11" s="216"/>
    </row>
    <row r="12" spans="1:21">
      <c r="A12" s="114" t="s">
        <v>457</v>
      </c>
      <c r="B12" s="115" t="s">
        <v>279</v>
      </c>
      <c r="C12" s="5"/>
      <c r="D12" s="116" t="s">
        <v>258</v>
      </c>
      <c r="E12" s="6">
        <f>220*4*1</f>
        <v>880</v>
      </c>
      <c r="F12" s="117">
        <v>11.72</v>
      </c>
      <c r="G12" s="124">
        <f>BDI!$B$23</f>
        <v>0.24873184530590153</v>
      </c>
      <c r="H12" s="117">
        <f t="shared" ref="H12:H24" si="0">TRUNC(F12*(1+G12),2)</f>
        <v>14.63</v>
      </c>
      <c r="I12" s="117">
        <f t="shared" ref="I12:I24" si="1">TRUNC(E12*H12,2)</f>
        <v>12874.4</v>
      </c>
      <c r="J12" s="118" t="s">
        <v>259</v>
      </c>
      <c r="K12" s="190">
        <v>0.25</v>
      </c>
      <c r="L12" s="189">
        <f>TRUNC(K12*$I12,2)</f>
        <v>3218.6</v>
      </c>
      <c r="M12" s="190">
        <v>0.25</v>
      </c>
      <c r="N12" s="189">
        <f>TRUNC(M12*$I12,2)</f>
        <v>3218.6</v>
      </c>
      <c r="O12" s="190">
        <v>0.25</v>
      </c>
      <c r="P12" s="189">
        <f>TRUNC(O12*$I12,2)</f>
        <v>3218.6</v>
      </c>
      <c r="Q12" s="190">
        <v>0.25</v>
      </c>
      <c r="R12" s="189">
        <f>TRUNC(Q12*$I12,2)</f>
        <v>3218.6</v>
      </c>
      <c r="S12" s="216">
        <f t="shared" ref="S12:S76" si="2">SUM(K12+M12+O12+Q12)</f>
        <v>1</v>
      </c>
      <c r="T12" s="75"/>
      <c r="U12" s="111">
        <f>SUM(L12+N12+P12+R12)</f>
        <v>12874.4</v>
      </c>
    </row>
    <row r="13" spans="1:21">
      <c r="A13" s="114" t="s">
        <v>311</v>
      </c>
      <c r="B13" s="115" t="s">
        <v>260</v>
      </c>
      <c r="C13" s="5"/>
      <c r="D13" s="116" t="s">
        <v>258</v>
      </c>
      <c r="E13" s="6">
        <f>220*4*1</f>
        <v>880</v>
      </c>
      <c r="F13" s="117">
        <v>19.32</v>
      </c>
      <c r="G13" s="124">
        <f>BDI!$B$23</f>
        <v>0.24873184530590153</v>
      </c>
      <c r="H13" s="117">
        <f t="shared" si="0"/>
        <v>24.12</v>
      </c>
      <c r="I13" s="117">
        <f t="shared" si="1"/>
        <v>21225.599999999999</v>
      </c>
      <c r="J13" s="118" t="s">
        <v>438</v>
      </c>
      <c r="K13" s="190">
        <v>0.25</v>
      </c>
      <c r="L13" s="189">
        <f t="shared" ref="L13:L77" si="3">TRUNC(K13*$I13,2)</f>
        <v>5306.4</v>
      </c>
      <c r="M13" s="190">
        <v>0.25</v>
      </c>
      <c r="N13" s="189">
        <f t="shared" ref="N13:N77" si="4">TRUNC(M13*$I13,2)</f>
        <v>5306.4</v>
      </c>
      <c r="O13" s="190">
        <v>0.25</v>
      </c>
      <c r="P13" s="189">
        <f t="shared" ref="P13:P77" si="5">TRUNC(O13*$I13,2)</f>
        <v>5306.4</v>
      </c>
      <c r="Q13" s="190">
        <v>0.25</v>
      </c>
      <c r="R13" s="189">
        <f t="shared" ref="R13:R77" si="6">TRUNC(Q13*$I13,2)</f>
        <v>5306.4</v>
      </c>
      <c r="S13" s="216">
        <f t="shared" si="2"/>
        <v>1</v>
      </c>
      <c r="T13" s="75"/>
      <c r="U13" s="111">
        <f>SUM(L13+N13+P13+R13)</f>
        <v>21225.599999999999</v>
      </c>
    </row>
    <row r="14" spans="1:21" s="75" customFormat="1">
      <c r="A14" s="114"/>
      <c r="B14" s="107" t="s">
        <v>261</v>
      </c>
      <c r="C14" s="5"/>
      <c r="D14" s="116"/>
      <c r="E14" s="6"/>
      <c r="F14" s="117"/>
      <c r="G14" s="124"/>
      <c r="H14" s="117"/>
      <c r="I14" s="117"/>
      <c r="J14" s="118"/>
      <c r="K14" s="190"/>
      <c r="L14" s="189">
        <f t="shared" si="3"/>
        <v>0</v>
      </c>
      <c r="M14" s="190"/>
      <c r="N14" s="189">
        <f t="shared" si="4"/>
        <v>0</v>
      </c>
      <c r="O14" s="190"/>
      <c r="P14" s="189">
        <f t="shared" si="5"/>
        <v>0</v>
      </c>
      <c r="Q14" s="190"/>
      <c r="R14" s="189">
        <f t="shared" si="6"/>
        <v>0</v>
      </c>
      <c r="S14" s="216"/>
      <c r="U14" s="111"/>
    </row>
    <row r="15" spans="1:21">
      <c r="A15" s="114" t="s">
        <v>458</v>
      </c>
      <c r="B15" s="115" t="s">
        <v>436</v>
      </c>
      <c r="C15" s="5"/>
      <c r="D15" s="116" t="s">
        <v>258</v>
      </c>
      <c r="E15" s="6">
        <v>880</v>
      </c>
      <c r="F15" s="117">
        <v>10.84</v>
      </c>
      <c r="G15" s="124">
        <f>BDI!$B$23</f>
        <v>0.24873184530590153</v>
      </c>
      <c r="H15" s="117">
        <f t="shared" si="0"/>
        <v>13.53</v>
      </c>
      <c r="I15" s="117">
        <f t="shared" si="1"/>
        <v>11906.4</v>
      </c>
      <c r="J15" s="118" t="s">
        <v>262</v>
      </c>
      <c r="K15" s="190">
        <v>0.25</v>
      </c>
      <c r="L15" s="189">
        <f t="shared" si="3"/>
        <v>2976.6</v>
      </c>
      <c r="M15" s="190">
        <v>0.25</v>
      </c>
      <c r="N15" s="189">
        <f t="shared" si="4"/>
        <v>2976.6</v>
      </c>
      <c r="O15" s="190">
        <v>0.25</v>
      </c>
      <c r="P15" s="189">
        <f t="shared" si="5"/>
        <v>2976.6</v>
      </c>
      <c r="Q15" s="190">
        <v>0.25</v>
      </c>
      <c r="R15" s="189">
        <f t="shared" si="6"/>
        <v>2976.6</v>
      </c>
      <c r="S15" s="216">
        <f t="shared" si="2"/>
        <v>1</v>
      </c>
      <c r="T15" s="75"/>
      <c r="U15" s="111">
        <f t="shared" ref="U15:U78" si="7">SUM(L15+N15+P15+R15)</f>
        <v>11906.4</v>
      </c>
    </row>
    <row r="16" spans="1:21">
      <c r="A16" s="114" t="s">
        <v>312</v>
      </c>
      <c r="B16" s="115" t="s">
        <v>437</v>
      </c>
      <c r="C16" s="5"/>
      <c r="D16" s="116" t="s">
        <v>258</v>
      </c>
      <c r="E16" s="6">
        <v>880</v>
      </c>
      <c r="F16" s="117">
        <v>7.6</v>
      </c>
      <c r="G16" s="124">
        <f>BDI!$B$23</f>
        <v>0.24873184530590153</v>
      </c>
      <c r="H16" s="117">
        <f t="shared" si="0"/>
        <v>9.49</v>
      </c>
      <c r="I16" s="117">
        <f t="shared" si="1"/>
        <v>8351.2000000000007</v>
      </c>
      <c r="J16" s="118" t="s">
        <v>263</v>
      </c>
      <c r="K16" s="190">
        <v>0.25</v>
      </c>
      <c r="L16" s="189">
        <f t="shared" si="3"/>
        <v>2087.8000000000002</v>
      </c>
      <c r="M16" s="190">
        <v>0.25</v>
      </c>
      <c r="N16" s="189">
        <f t="shared" si="4"/>
        <v>2087.8000000000002</v>
      </c>
      <c r="O16" s="190">
        <v>0.25</v>
      </c>
      <c r="P16" s="189">
        <f t="shared" si="5"/>
        <v>2087.8000000000002</v>
      </c>
      <c r="Q16" s="190">
        <v>0.25</v>
      </c>
      <c r="R16" s="189">
        <f t="shared" si="6"/>
        <v>2087.8000000000002</v>
      </c>
      <c r="S16" s="216">
        <f t="shared" si="2"/>
        <v>1</v>
      </c>
      <c r="T16" s="75"/>
      <c r="U16" s="111">
        <f t="shared" si="7"/>
        <v>8351.2000000000007</v>
      </c>
    </row>
    <row r="17" spans="1:21" s="75" customFormat="1">
      <c r="A17" s="114"/>
      <c r="B17" s="115"/>
      <c r="C17" s="5"/>
      <c r="D17" s="116"/>
      <c r="E17" s="6"/>
      <c r="F17" s="117"/>
      <c r="G17" s="124"/>
      <c r="H17" s="117"/>
      <c r="I17" s="117"/>
      <c r="J17" s="118"/>
      <c r="K17" s="190"/>
      <c r="L17" s="190"/>
      <c r="M17" s="190"/>
      <c r="N17" s="190"/>
      <c r="O17" s="190"/>
      <c r="P17" s="190"/>
      <c r="Q17" s="190"/>
      <c r="R17" s="190"/>
      <c r="S17" s="216"/>
      <c r="U17" s="111"/>
    </row>
    <row r="18" spans="1:21">
      <c r="A18" s="31">
        <v>2</v>
      </c>
      <c r="B18" s="32" t="s">
        <v>264</v>
      </c>
      <c r="C18" s="33"/>
      <c r="D18" s="34"/>
      <c r="E18" s="35"/>
      <c r="F18" s="35"/>
      <c r="G18" s="35"/>
      <c r="H18" s="36"/>
      <c r="I18" s="37">
        <f>SUM(I19:I24)</f>
        <v>14690.34</v>
      </c>
      <c r="J18" s="38"/>
      <c r="K18" s="198"/>
      <c r="L18" s="198"/>
      <c r="M18" s="198"/>
      <c r="N18" s="198"/>
      <c r="O18" s="198"/>
      <c r="P18" s="198"/>
      <c r="Q18" s="198"/>
      <c r="R18" s="198"/>
      <c r="S18" s="216"/>
      <c r="T18" s="217">
        <f>I18/I$138</f>
        <v>6.0942232552410276E-2</v>
      </c>
      <c r="U18" s="111"/>
    </row>
    <row r="19" spans="1:21">
      <c r="A19" s="114" t="s">
        <v>265</v>
      </c>
      <c r="B19" s="115" t="s">
        <v>266</v>
      </c>
      <c r="C19" s="5"/>
      <c r="D19" s="116" t="s">
        <v>267</v>
      </c>
      <c r="E19" s="6">
        <v>1</v>
      </c>
      <c r="F19" s="117">
        <v>63.5</v>
      </c>
      <c r="G19" s="124">
        <f>BDI!$B$23</f>
        <v>0.24873184530590153</v>
      </c>
      <c r="H19" s="117">
        <f t="shared" si="0"/>
        <v>79.290000000000006</v>
      </c>
      <c r="I19" s="117">
        <f t="shared" si="1"/>
        <v>79.290000000000006</v>
      </c>
      <c r="J19" s="118" t="s">
        <v>268</v>
      </c>
      <c r="K19" s="190">
        <v>1</v>
      </c>
      <c r="L19" s="189">
        <f t="shared" si="3"/>
        <v>79.290000000000006</v>
      </c>
      <c r="M19" s="190">
        <v>0</v>
      </c>
      <c r="N19" s="189">
        <f t="shared" si="4"/>
        <v>0</v>
      </c>
      <c r="O19" s="190">
        <v>0</v>
      </c>
      <c r="P19" s="189">
        <f t="shared" si="5"/>
        <v>0</v>
      </c>
      <c r="Q19" s="190">
        <v>0</v>
      </c>
      <c r="R19" s="189">
        <f t="shared" si="6"/>
        <v>0</v>
      </c>
      <c r="S19" s="216">
        <f t="shared" si="2"/>
        <v>1</v>
      </c>
      <c r="T19" s="75"/>
      <c r="U19" s="111">
        <f t="shared" si="7"/>
        <v>79.290000000000006</v>
      </c>
    </row>
    <row r="20" spans="1:21" ht="16.5" customHeight="1">
      <c r="A20" s="114" t="s">
        <v>313</v>
      </c>
      <c r="B20" s="115" t="s">
        <v>378</v>
      </c>
      <c r="C20" s="5"/>
      <c r="D20" s="116" t="s">
        <v>377</v>
      </c>
      <c r="E20" s="6">
        <v>1</v>
      </c>
      <c r="F20" s="126">
        <f>COMPOSIÇÕES!H6</f>
        <v>753.6400000000001</v>
      </c>
      <c r="G20" s="124">
        <f>BDI!$B$23</f>
        <v>0.24873184530590153</v>
      </c>
      <c r="H20" s="117">
        <f t="shared" si="0"/>
        <v>941.09</v>
      </c>
      <c r="I20" s="117">
        <f t="shared" si="1"/>
        <v>941.09</v>
      </c>
      <c r="J20" s="118" t="s">
        <v>270</v>
      </c>
      <c r="K20" s="190">
        <v>0.5</v>
      </c>
      <c r="L20" s="189">
        <f t="shared" si="3"/>
        <v>470.54</v>
      </c>
      <c r="M20" s="190">
        <v>0</v>
      </c>
      <c r="N20" s="189">
        <f t="shared" si="4"/>
        <v>0</v>
      </c>
      <c r="O20" s="190">
        <v>0.5</v>
      </c>
      <c r="P20" s="189">
        <f t="shared" si="5"/>
        <v>470.54</v>
      </c>
      <c r="Q20" s="190">
        <v>0</v>
      </c>
      <c r="R20" s="189">
        <f t="shared" si="6"/>
        <v>0</v>
      </c>
      <c r="S20" s="216">
        <f t="shared" si="2"/>
        <v>1</v>
      </c>
      <c r="T20" s="75"/>
      <c r="U20" s="111">
        <f t="shared" si="7"/>
        <v>941.08</v>
      </c>
    </row>
    <row r="21" spans="1:21">
      <c r="A21" s="114" t="s">
        <v>271</v>
      </c>
      <c r="B21" s="115" t="s">
        <v>275</v>
      </c>
      <c r="C21" s="5"/>
      <c r="D21" s="116" t="s">
        <v>269</v>
      </c>
      <c r="E21" s="6">
        <v>4</v>
      </c>
      <c r="F21" s="126">
        <f>COMPOSIÇÕES!H15</f>
        <v>1760</v>
      </c>
      <c r="G21" s="124">
        <f>BDI!$B$23</f>
        <v>0.24873184530590153</v>
      </c>
      <c r="H21" s="117">
        <f t="shared" si="0"/>
        <v>2197.7600000000002</v>
      </c>
      <c r="I21" s="117">
        <f t="shared" si="1"/>
        <v>8791.0400000000009</v>
      </c>
      <c r="J21" s="118" t="s">
        <v>270</v>
      </c>
      <c r="K21" s="190">
        <v>0.25</v>
      </c>
      <c r="L21" s="189">
        <f t="shared" si="3"/>
        <v>2197.7600000000002</v>
      </c>
      <c r="M21" s="190">
        <v>0.25</v>
      </c>
      <c r="N21" s="189">
        <f t="shared" si="4"/>
        <v>2197.7600000000002</v>
      </c>
      <c r="O21" s="190">
        <v>0.25</v>
      </c>
      <c r="P21" s="189">
        <f t="shared" si="5"/>
        <v>2197.7600000000002</v>
      </c>
      <c r="Q21" s="190">
        <v>0.25</v>
      </c>
      <c r="R21" s="189">
        <f t="shared" si="6"/>
        <v>2197.7600000000002</v>
      </c>
      <c r="S21" s="216">
        <f t="shared" si="2"/>
        <v>1</v>
      </c>
      <c r="T21" s="75"/>
      <c r="U21" s="111">
        <f t="shared" si="7"/>
        <v>8791.0400000000009</v>
      </c>
    </row>
    <row r="22" spans="1:21">
      <c r="A22" s="114" t="s">
        <v>272</v>
      </c>
      <c r="B22" s="115" t="s">
        <v>276</v>
      </c>
      <c r="C22" s="5"/>
      <c r="D22" s="116" t="s">
        <v>269</v>
      </c>
      <c r="E22" s="6">
        <v>4</v>
      </c>
      <c r="F22" s="126">
        <f>COMPOSIÇÕES!H17</f>
        <v>158.4</v>
      </c>
      <c r="G22" s="124">
        <f>BDI!$B$23</f>
        <v>0.24873184530590153</v>
      </c>
      <c r="H22" s="117">
        <f t="shared" si="0"/>
        <v>197.79</v>
      </c>
      <c r="I22" s="117">
        <f t="shared" si="1"/>
        <v>791.16</v>
      </c>
      <c r="J22" s="118" t="s">
        <v>270</v>
      </c>
      <c r="K22" s="190">
        <v>1</v>
      </c>
      <c r="L22" s="189">
        <f t="shared" si="3"/>
        <v>791.16</v>
      </c>
      <c r="M22" s="190">
        <v>0</v>
      </c>
      <c r="N22" s="189">
        <f t="shared" si="4"/>
        <v>0</v>
      </c>
      <c r="O22" s="190">
        <v>0</v>
      </c>
      <c r="P22" s="189">
        <f t="shared" si="5"/>
        <v>0</v>
      </c>
      <c r="Q22" s="190">
        <v>0</v>
      </c>
      <c r="R22" s="189">
        <f t="shared" si="6"/>
        <v>0</v>
      </c>
      <c r="S22" s="216">
        <f t="shared" si="2"/>
        <v>1</v>
      </c>
      <c r="T22" s="75"/>
      <c r="U22" s="111">
        <f t="shared" si="7"/>
        <v>791.16</v>
      </c>
    </row>
    <row r="23" spans="1:21">
      <c r="A23" s="114" t="s">
        <v>273</v>
      </c>
      <c r="B23" s="115" t="s">
        <v>277</v>
      </c>
      <c r="C23" s="5"/>
      <c r="D23" s="116" t="s">
        <v>269</v>
      </c>
      <c r="E23" s="6">
        <v>4</v>
      </c>
      <c r="F23" s="126">
        <f>COMPOSIÇÕES!H19</f>
        <v>712.80000000000007</v>
      </c>
      <c r="G23" s="124">
        <f>BDI!$B$23</f>
        <v>0.24873184530590153</v>
      </c>
      <c r="H23" s="117">
        <f t="shared" si="0"/>
        <v>890.09</v>
      </c>
      <c r="I23" s="117">
        <f t="shared" si="1"/>
        <v>3560.36</v>
      </c>
      <c r="J23" s="118" t="s">
        <v>270</v>
      </c>
      <c r="K23" s="190">
        <v>0.25</v>
      </c>
      <c r="L23" s="189">
        <f t="shared" si="3"/>
        <v>890.09</v>
      </c>
      <c r="M23" s="190">
        <v>0.25</v>
      </c>
      <c r="N23" s="189">
        <f t="shared" si="4"/>
        <v>890.09</v>
      </c>
      <c r="O23" s="190">
        <v>0.25</v>
      </c>
      <c r="P23" s="189">
        <f t="shared" si="5"/>
        <v>890.09</v>
      </c>
      <c r="Q23" s="190">
        <v>0.25</v>
      </c>
      <c r="R23" s="189">
        <f t="shared" si="6"/>
        <v>890.09</v>
      </c>
      <c r="S23" s="216">
        <f t="shared" si="2"/>
        <v>1</v>
      </c>
      <c r="T23" s="75"/>
      <c r="U23" s="111">
        <f t="shared" si="7"/>
        <v>3560.36</v>
      </c>
    </row>
    <row r="24" spans="1:21">
      <c r="A24" s="114" t="s">
        <v>274</v>
      </c>
      <c r="B24" s="115" t="s">
        <v>278</v>
      </c>
      <c r="C24" s="5"/>
      <c r="D24" s="116" t="s">
        <v>269</v>
      </c>
      <c r="E24" s="6">
        <v>12</v>
      </c>
      <c r="F24" s="126">
        <f>COMPOSIÇÕES!H21</f>
        <v>35.200000000000003</v>
      </c>
      <c r="G24" s="124">
        <f>BDI!$B$23</f>
        <v>0.24873184530590153</v>
      </c>
      <c r="H24" s="117">
        <f t="shared" si="0"/>
        <v>43.95</v>
      </c>
      <c r="I24" s="117">
        <f t="shared" si="1"/>
        <v>527.4</v>
      </c>
      <c r="J24" s="118" t="s">
        <v>270</v>
      </c>
      <c r="K24" s="190">
        <v>0.25</v>
      </c>
      <c r="L24" s="189">
        <f t="shared" si="3"/>
        <v>131.85</v>
      </c>
      <c r="M24" s="190">
        <v>0.25</v>
      </c>
      <c r="N24" s="189">
        <f t="shared" si="4"/>
        <v>131.85</v>
      </c>
      <c r="O24" s="190">
        <v>0.25</v>
      </c>
      <c r="P24" s="189">
        <f t="shared" si="5"/>
        <v>131.85</v>
      </c>
      <c r="Q24" s="190">
        <v>0.25</v>
      </c>
      <c r="R24" s="189">
        <f t="shared" si="6"/>
        <v>131.85</v>
      </c>
      <c r="S24" s="216">
        <f t="shared" si="2"/>
        <v>1</v>
      </c>
      <c r="T24" s="75"/>
      <c r="U24" s="111">
        <f t="shared" si="7"/>
        <v>527.4</v>
      </c>
    </row>
    <row r="25" spans="1:21">
      <c r="F25" s="132"/>
      <c r="G25" s="69"/>
      <c r="H25" s="111"/>
      <c r="I25" s="111"/>
      <c r="J25" s="223"/>
      <c r="K25" s="190"/>
      <c r="L25" s="190"/>
      <c r="M25" s="190"/>
      <c r="N25" s="190"/>
      <c r="O25" s="190"/>
      <c r="P25" s="190"/>
      <c r="Q25" s="190"/>
      <c r="R25" s="190"/>
      <c r="S25" s="216"/>
      <c r="T25" s="75"/>
      <c r="U25" s="111"/>
    </row>
    <row r="26" spans="1:21">
      <c r="A26" s="31">
        <v>3</v>
      </c>
      <c r="B26" s="32" t="s">
        <v>473</v>
      </c>
      <c r="C26" s="33"/>
      <c r="D26" s="34" t="s">
        <v>381</v>
      </c>
      <c r="E26" s="35">
        <v>1</v>
      </c>
      <c r="F26" s="35"/>
      <c r="G26" s="35"/>
      <c r="H26" s="36"/>
      <c r="I26" s="37">
        <f>'Estimativa As Built'!H38</f>
        <v>1961.1453588932</v>
      </c>
      <c r="J26" s="38"/>
      <c r="K26" s="198">
        <v>0</v>
      </c>
      <c r="L26" s="278">
        <f t="shared" si="3"/>
        <v>0</v>
      </c>
      <c r="M26" s="198">
        <v>0</v>
      </c>
      <c r="N26" s="278">
        <f t="shared" ref="N26" si="8">TRUNC(M26*$I26,2)</f>
        <v>0</v>
      </c>
      <c r="O26" s="198">
        <v>0</v>
      </c>
      <c r="P26" s="278">
        <f t="shared" ref="P26" si="9">TRUNC(O26*$I26,2)</f>
        <v>0</v>
      </c>
      <c r="Q26" s="198">
        <v>1</v>
      </c>
      <c r="R26" s="238">
        <f t="shared" si="6"/>
        <v>1961.14</v>
      </c>
      <c r="S26" s="216">
        <f t="shared" si="2"/>
        <v>1</v>
      </c>
      <c r="T26" s="217">
        <f>I26/I$138</f>
        <v>8.1357256898580629E-3</v>
      </c>
      <c r="U26" s="111">
        <f t="shared" si="7"/>
        <v>1961.14</v>
      </c>
    </row>
    <row r="27" spans="1:21">
      <c r="A27" s="122"/>
      <c r="B27" s="123"/>
      <c r="C27" s="16"/>
      <c r="D27" s="17"/>
      <c r="E27" s="18"/>
      <c r="F27" s="18"/>
      <c r="G27" s="18"/>
      <c r="H27" s="18"/>
      <c r="I27" s="18"/>
      <c r="J27" s="19"/>
      <c r="K27" s="190"/>
      <c r="L27" s="190"/>
      <c r="M27" s="190"/>
      <c r="N27" s="190"/>
      <c r="O27" s="190"/>
      <c r="P27" s="190"/>
      <c r="Q27" s="190"/>
      <c r="R27" s="190"/>
      <c r="S27" s="216"/>
      <c r="T27" s="75"/>
      <c r="U27" s="111"/>
    </row>
    <row r="28" spans="1:21">
      <c r="A28" s="31">
        <v>4</v>
      </c>
      <c r="B28" s="32" t="s">
        <v>29</v>
      </c>
      <c r="C28" s="33"/>
      <c r="D28" s="34"/>
      <c r="E28" s="35"/>
      <c r="F28" s="35"/>
      <c r="G28" s="35"/>
      <c r="H28" s="36"/>
      <c r="I28" s="37">
        <f>SUM(I30:I35)</f>
        <v>77470.759999999995</v>
      </c>
      <c r="J28" s="38"/>
      <c r="K28" s="198"/>
      <c r="L28" s="198"/>
      <c r="M28" s="198"/>
      <c r="N28" s="198"/>
      <c r="O28" s="198"/>
      <c r="P28" s="198"/>
      <c r="Q28" s="198"/>
      <c r="R28" s="198"/>
      <c r="S28" s="216"/>
      <c r="T28" s="217">
        <f>I28/I$138</f>
        <v>0.32138405727382507</v>
      </c>
      <c r="U28" s="111"/>
    </row>
    <row r="29" spans="1:21">
      <c r="J29" s="209"/>
      <c r="K29" s="190"/>
      <c r="L29" s="190"/>
      <c r="M29" s="190"/>
      <c r="N29" s="190"/>
      <c r="O29" s="190"/>
      <c r="P29" s="190"/>
      <c r="Q29" s="190"/>
      <c r="R29" s="190"/>
      <c r="S29" s="216"/>
      <c r="T29" s="75"/>
      <c r="U29" s="111"/>
    </row>
    <row r="30" spans="1:21" ht="28.5" customHeight="1">
      <c r="A30" s="114" t="s">
        <v>139</v>
      </c>
      <c r="B30" s="115" t="s">
        <v>194</v>
      </c>
      <c r="C30" s="5"/>
      <c r="D30" s="116" t="s">
        <v>14</v>
      </c>
      <c r="E30" s="112">
        <v>2</v>
      </c>
      <c r="F30" s="25">
        <v>69.17</v>
      </c>
      <c r="G30" s="124">
        <f>BDI!$B$23</f>
        <v>0.24873184530590153</v>
      </c>
      <c r="H30" s="117">
        <f t="shared" ref="H30:H31" si="10">TRUNC(F30*(1+G30),2)</f>
        <v>86.37</v>
      </c>
      <c r="I30" s="117">
        <f>TRUNC(E30*H30,2)</f>
        <v>172.74</v>
      </c>
      <c r="J30" s="118" t="s">
        <v>193</v>
      </c>
      <c r="K30" s="190">
        <v>0</v>
      </c>
      <c r="L30" s="189">
        <f t="shared" si="3"/>
        <v>0</v>
      </c>
      <c r="M30" s="190">
        <v>1</v>
      </c>
      <c r="N30" s="189">
        <f t="shared" si="4"/>
        <v>172.74</v>
      </c>
      <c r="O30" s="190">
        <v>0</v>
      </c>
      <c r="P30" s="189">
        <f t="shared" si="5"/>
        <v>0</v>
      </c>
      <c r="Q30" s="190">
        <v>0</v>
      </c>
      <c r="R30" s="189">
        <f t="shared" si="6"/>
        <v>0</v>
      </c>
      <c r="S30" s="216">
        <f t="shared" si="2"/>
        <v>1</v>
      </c>
      <c r="T30" s="75"/>
      <c r="U30" s="111">
        <f t="shared" si="7"/>
        <v>172.74</v>
      </c>
    </row>
    <row r="31" spans="1:21" ht="28.5" customHeight="1">
      <c r="A31" s="114" t="s">
        <v>140</v>
      </c>
      <c r="B31" s="115" t="s">
        <v>189</v>
      </c>
      <c r="C31" s="5"/>
      <c r="D31" s="116" t="s">
        <v>190</v>
      </c>
      <c r="E31" s="112">
        <v>0.5</v>
      </c>
      <c r="F31" s="25">
        <v>169.75</v>
      </c>
      <c r="G31" s="124">
        <f>BDI!$B$23</f>
        <v>0.24873184530590153</v>
      </c>
      <c r="H31" s="117">
        <f t="shared" si="10"/>
        <v>211.97</v>
      </c>
      <c r="I31" s="117">
        <f>TRUNC(E31*H31,2)</f>
        <v>105.98</v>
      </c>
      <c r="J31" s="118" t="s">
        <v>188</v>
      </c>
      <c r="K31" s="190">
        <v>0</v>
      </c>
      <c r="L31" s="189">
        <f t="shared" si="3"/>
        <v>0</v>
      </c>
      <c r="M31" s="190">
        <v>1</v>
      </c>
      <c r="N31" s="189">
        <f t="shared" si="4"/>
        <v>105.98</v>
      </c>
      <c r="O31" s="190">
        <v>0</v>
      </c>
      <c r="P31" s="189">
        <f t="shared" si="5"/>
        <v>0</v>
      </c>
      <c r="Q31" s="190">
        <v>0</v>
      </c>
      <c r="R31" s="189">
        <f t="shared" si="6"/>
        <v>0</v>
      </c>
      <c r="S31" s="216">
        <f t="shared" si="2"/>
        <v>1</v>
      </c>
      <c r="T31" s="75"/>
      <c r="U31" s="111">
        <f t="shared" si="7"/>
        <v>105.98</v>
      </c>
    </row>
    <row r="32" spans="1:21" ht="45">
      <c r="A32" s="114" t="s">
        <v>141</v>
      </c>
      <c r="B32" s="108" t="s">
        <v>309</v>
      </c>
      <c r="C32" s="77"/>
      <c r="D32" s="109" t="s">
        <v>13</v>
      </c>
      <c r="E32" s="77">
        <v>200.41</v>
      </c>
      <c r="F32" s="77">
        <v>26.57</v>
      </c>
      <c r="G32" s="124">
        <f>BDI!$B$23</f>
        <v>0.24873184530590153</v>
      </c>
      <c r="H32" s="119">
        <v>33.35</v>
      </c>
      <c r="I32" s="117">
        <v>6683.67</v>
      </c>
      <c r="J32" s="209" t="s">
        <v>310</v>
      </c>
      <c r="K32" s="190">
        <v>0</v>
      </c>
      <c r="L32" s="189">
        <f t="shared" si="3"/>
        <v>0</v>
      </c>
      <c r="M32" s="190">
        <v>1</v>
      </c>
      <c r="N32" s="189">
        <f t="shared" si="4"/>
        <v>6683.67</v>
      </c>
      <c r="O32" s="190">
        <v>0</v>
      </c>
      <c r="P32" s="189">
        <f t="shared" si="5"/>
        <v>0</v>
      </c>
      <c r="Q32" s="190">
        <v>0</v>
      </c>
      <c r="R32" s="189">
        <f t="shared" si="6"/>
        <v>0</v>
      </c>
      <c r="S32" s="216">
        <f t="shared" si="2"/>
        <v>1</v>
      </c>
      <c r="T32" s="75"/>
      <c r="U32" s="111">
        <f t="shared" si="7"/>
        <v>6683.67</v>
      </c>
    </row>
    <row r="33" spans="1:21" ht="42.75" customHeight="1">
      <c r="A33" s="114" t="s">
        <v>142</v>
      </c>
      <c r="B33" s="115" t="s">
        <v>4</v>
      </c>
      <c r="C33" s="5"/>
      <c r="D33" s="116" t="s">
        <v>13</v>
      </c>
      <c r="E33" s="112">
        <v>200.41</v>
      </c>
      <c r="F33" s="25">
        <v>0</v>
      </c>
      <c r="G33" s="124"/>
      <c r="H33" s="117">
        <v>340</v>
      </c>
      <c r="I33" s="117">
        <f>TRUNC(E33*(F33+H33)*(1+G33),2)</f>
        <v>68139.399999999994</v>
      </c>
      <c r="J33" s="118" t="s">
        <v>127</v>
      </c>
      <c r="K33" s="190">
        <v>0</v>
      </c>
      <c r="L33" s="189">
        <f t="shared" si="3"/>
        <v>0</v>
      </c>
      <c r="M33" s="190">
        <v>0</v>
      </c>
      <c r="N33" s="189">
        <f t="shared" si="4"/>
        <v>0</v>
      </c>
      <c r="O33" s="190">
        <v>0</v>
      </c>
      <c r="P33" s="189">
        <f t="shared" si="5"/>
        <v>0</v>
      </c>
      <c r="Q33" s="190">
        <v>1</v>
      </c>
      <c r="R33" s="189">
        <f t="shared" si="6"/>
        <v>68139.399999999994</v>
      </c>
      <c r="S33" s="216">
        <f t="shared" si="2"/>
        <v>1</v>
      </c>
      <c r="T33" s="75"/>
      <c r="U33" s="111">
        <f t="shared" si="7"/>
        <v>68139.399999999994</v>
      </c>
    </row>
    <row r="34" spans="1:21">
      <c r="A34" s="114" t="s">
        <v>314</v>
      </c>
      <c r="B34" s="115" t="s">
        <v>254</v>
      </c>
      <c r="C34" s="5" t="s">
        <v>256</v>
      </c>
      <c r="D34" s="116" t="s">
        <v>190</v>
      </c>
      <c r="E34" s="112">
        <f>21.22*0.17</f>
        <v>3.6074000000000002</v>
      </c>
      <c r="F34" s="119">
        <v>90.58</v>
      </c>
      <c r="G34" s="124">
        <f>BDI!$B$23</f>
        <v>0.24873184530590153</v>
      </c>
      <c r="H34" s="119">
        <f t="shared" ref="H34" si="11">TRUNC(F34*(1+G34),2)</f>
        <v>113.11</v>
      </c>
      <c r="I34" s="117">
        <f t="shared" ref="I34" si="12">TRUNC(E34*H34,2)</f>
        <v>408.03</v>
      </c>
      <c r="J34" s="118" t="s">
        <v>255</v>
      </c>
      <c r="K34" s="190">
        <v>0</v>
      </c>
      <c r="L34" s="189">
        <f t="shared" si="3"/>
        <v>0</v>
      </c>
      <c r="M34" s="190">
        <v>1</v>
      </c>
      <c r="N34" s="189">
        <f t="shared" si="4"/>
        <v>408.03</v>
      </c>
      <c r="O34" s="190">
        <v>0</v>
      </c>
      <c r="P34" s="189">
        <f t="shared" si="5"/>
        <v>0</v>
      </c>
      <c r="Q34" s="190">
        <v>0</v>
      </c>
      <c r="R34" s="189">
        <f t="shared" si="6"/>
        <v>0</v>
      </c>
      <c r="S34" s="216">
        <f t="shared" si="2"/>
        <v>1</v>
      </c>
      <c r="T34" s="75"/>
      <c r="U34" s="111">
        <f t="shared" si="7"/>
        <v>408.03</v>
      </c>
    </row>
    <row r="35" spans="1:21" ht="90">
      <c r="A35" s="114" t="s">
        <v>315</v>
      </c>
      <c r="B35" s="115" t="s">
        <v>51</v>
      </c>
      <c r="C35" s="5" t="s">
        <v>157</v>
      </c>
      <c r="D35" s="116" t="s">
        <v>13</v>
      </c>
      <c r="E35" s="112">
        <v>21.22</v>
      </c>
      <c r="F35" s="119">
        <v>74.010000000000005</v>
      </c>
      <c r="G35" s="124">
        <f>BDI!$B$23</f>
        <v>0.24873184530590153</v>
      </c>
      <c r="H35" s="119">
        <f>TRUNC(F35*(1+G35),2)</f>
        <v>92.41</v>
      </c>
      <c r="I35" s="117">
        <f>TRUNC(E35*H35,2)</f>
        <v>1960.94</v>
      </c>
      <c r="J35" s="118" t="s">
        <v>197</v>
      </c>
      <c r="K35" s="190">
        <v>0</v>
      </c>
      <c r="L35" s="189">
        <f t="shared" si="3"/>
        <v>0</v>
      </c>
      <c r="M35" s="190">
        <v>0</v>
      </c>
      <c r="N35" s="189">
        <f t="shared" si="4"/>
        <v>0</v>
      </c>
      <c r="O35" s="190">
        <v>0</v>
      </c>
      <c r="P35" s="189">
        <f t="shared" si="5"/>
        <v>0</v>
      </c>
      <c r="Q35" s="190">
        <v>1</v>
      </c>
      <c r="R35" s="189">
        <f t="shared" si="6"/>
        <v>1960.94</v>
      </c>
      <c r="S35" s="216">
        <f t="shared" si="2"/>
        <v>1</v>
      </c>
      <c r="T35" s="75"/>
      <c r="U35" s="111">
        <f t="shared" si="7"/>
        <v>1960.94</v>
      </c>
    </row>
    <row r="36" spans="1:21">
      <c r="A36" s="122"/>
      <c r="B36" s="123"/>
      <c r="C36" s="16"/>
      <c r="D36" s="17"/>
      <c r="E36" s="18"/>
      <c r="F36" s="20"/>
      <c r="G36" s="20"/>
      <c r="H36" s="20"/>
      <c r="I36" s="18"/>
      <c r="J36" s="19"/>
      <c r="K36" s="190"/>
      <c r="L36" s="190"/>
      <c r="M36" s="190"/>
      <c r="N36" s="190"/>
      <c r="O36" s="190"/>
      <c r="P36" s="190"/>
      <c r="Q36" s="190"/>
      <c r="R36" s="190"/>
      <c r="S36" s="216"/>
      <c r="T36" s="75"/>
      <c r="U36" s="111"/>
    </row>
    <row r="37" spans="1:21">
      <c r="A37" s="31">
        <v>5</v>
      </c>
      <c r="B37" s="32" t="s">
        <v>35</v>
      </c>
      <c r="C37" s="33"/>
      <c r="D37" s="34"/>
      <c r="E37" s="35"/>
      <c r="F37" s="39"/>
      <c r="G37" s="39"/>
      <c r="H37" s="40"/>
      <c r="I37" s="37">
        <f>SUM(I38:I40)</f>
        <v>27724.43</v>
      </c>
      <c r="J37" s="38"/>
      <c r="K37" s="198"/>
      <c r="L37" s="198"/>
      <c r="M37" s="198"/>
      <c r="N37" s="198"/>
      <c r="O37" s="198"/>
      <c r="P37" s="198"/>
      <c r="Q37" s="198"/>
      <c r="R37" s="198"/>
      <c r="S37" s="216"/>
      <c r="T37" s="217">
        <f>I37/I$138</f>
        <v>0.11501358446727715</v>
      </c>
      <c r="U37" s="111"/>
    </row>
    <row r="38" spans="1:21" ht="30">
      <c r="A38" s="114" t="s">
        <v>143</v>
      </c>
      <c r="B38" s="115" t="s">
        <v>5</v>
      </c>
      <c r="C38" s="5"/>
      <c r="D38" s="116" t="s">
        <v>13</v>
      </c>
      <c r="E38" s="120">
        <v>252.97</v>
      </c>
      <c r="F38" s="25">
        <v>0</v>
      </c>
      <c r="G38" s="25">
        <v>0</v>
      </c>
      <c r="H38" s="117">
        <v>98.8</v>
      </c>
      <c r="I38" s="117">
        <f>TRUNC(E38*(F38+H38)*(1+G38),2)</f>
        <v>24993.43</v>
      </c>
      <c r="J38" s="118" t="s">
        <v>128</v>
      </c>
      <c r="K38" s="190">
        <v>0</v>
      </c>
      <c r="L38" s="189">
        <f t="shared" si="3"/>
        <v>0</v>
      </c>
      <c r="M38" s="190">
        <v>0</v>
      </c>
      <c r="N38" s="189">
        <f t="shared" si="4"/>
        <v>0</v>
      </c>
      <c r="O38" s="190">
        <v>1</v>
      </c>
      <c r="P38" s="189">
        <f t="shared" si="5"/>
        <v>24993.43</v>
      </c>
      <c r="Q38" s="190">
        <v>0</v>
      </c>
      <c r="R38" s="189">
        <f t="shared" si="6"/>
        <v>0</v>
      </c>
      <c r="S38" s="216">
        <f t="shared" si="2"/>
        <v>1</v>
      </c>
      <c r="T38" s="75"/>
      <c r="U38" s="111">
        <f t="shared" si="7"/>
        <v>24993.43</v>
      </c>
    </row>
    <row r="39" spans="1:21" ht="45">
      <c r="A39" s="114" t="s">
        <v>144</v>
      </c>
      <c r="B39" s="115" t="s">
        <v>50</v>
      </c>
      <c r="C39" s="5" t="s">
        <v>156</v>
      </c>
      <c r="D39" s="116" t="s">
        <v>13</v>
      </c>
      <c r="E39" s="120">
        <v>7.76</v>
      </c>
      <c r="F39" s="117">
        <v>60.19</v>
      </c>
      <c r="G39" s="124">
        <f>BDI!$B$23</f>
        <v>0.24873184530590153</v>
      </c>
      <c r="H39" s="119">
        <f>TRUNC(F39*(1+G39),2)</f>
        <v>75.16</v>
      </c>
      <c r="I39" s="117">
        <f>TRUNC(E39*H39,2)</f>
        <v>583.24</v>
      </c>
      <c r="J39" s="118" t="s">
        <v>198</v>
      </c>
      <c r="K39" s="190">
        <v>0</v>
      </c>
      <c r="L39" s="189">
        <f t="shared" si="3"/>
        <v>0</v>
      </c>
      <c r="M39" s="190">
        <v>1</v>
      </c>
      <c r="N39" s="189">
        <f t="shared" si="4"/>
        <v>583.24</v>
      </c>
      <c r="O39" s="190">
        <v>0</v>
      </c>
      <c r="P39" s="189">
        <f t="shared" si="5"/>
        <v>0</v>
      </c>
      <c r="Q39" s="190">
        <v>0</v>
      </c>
      <c r="R39" s="189">
        <f t="shared" si="6"/>
        <v>0</v>
      </c>
      <c r="S39" s="216">
        <f t="shared" si="2"/>
        <v>1</v>
      </c>
      <c r="T39" s="75"/>
      <c r="U39" s="111">
        <f t="shared" si="7"/>
        <v>583.24</v>
      </c>
    </row>
    <row r="40" spans="1:21" ht="60">
      <c r="A40" s="114" t="s">
        <v>145</v>
      </c>
      <c r="B40" s="115" t="s">
        <v>49</v>
      </c>
      <c r="C40" s="5" t="s">
        <v>156</v>
      </c>
      <c r="D40" s="116" t="s">
        <v>13</v>
      </c>
      <c r="E40" s="120">
        <v>33.340000000000003</v>
      </c>
      <c r="F40" s="117">
        <v>51.59</v>
      </c>
      <c r="G40" s="124">
        <f>BDI!$B$23</f>
        <v>0.24873184530590153</v>
      </c>
      <c r="H40" s="119">
        <f>TRUNC(F40*(1+G40),2)</f>
        <v>64.42</v>
      </c>
      <c r="I40" s="117">
        <f>TRUNC(E40*H40,2)</f>
        <v>2147.7600000000002</v>
      </c>
      <c r="J40" s="118" t="s">
        <v>199</v>
      </c>
      <c r="K40" s="190">
        <v>0</v>
      </c>
      <c r="L40" s="189">
        <f t="shared" si="3"/>
        <v>0</v>
      </c>
      <c r="M40" s="190">
        <v>1</v>
      </c>
      <c r="N40" s="189">
        <f t="shared" si="4"/>
        <v>2147.7600000000002</v>
      </c>
      <c r="O40" s="190">
        <v>0</v>
      </c>
      <c r="P40" s="189">
        <f t="shared" si="5"/>
        <v>0</v>
      </c>
      <c r="Q40" s="190">
        <v>0</v>
      </c>
      <c r="R40" s="189">
        <f t="shared" si="6"/>
        <v>0</v>
      </c>
      <c r="S40" s="216">
        <f t="shared" si="2"/>
        <v>1</v>
      </c>
      <c r="T40" s="75"/>
      <c r="U40" s="111">
        <f t="shared" si="7"/>
        <v>2147.7600000000002</v>
      </c>
    </row>
    <row r="41" spans="1:21">
      <c r="A41" s="122"/>
      <c r="B41" s="123"/>
      <c r="C41" s="16"/>
      <c r="D41" s="17"/>
      <c r="E41" s="123"/>
      <c r="F41" s="20"/>
      <c r="G41" s="20"/>
      <c r="H41" s="20"/>
      <c r="I41" s="18"/>
      <c r="J41" s="19"/>
      <c r="K41" s="190"/>
      <c r="L41" s="190"/>
      <c r="M41" s="190"/>
      <c r="N41" s="190"/>
      <c r="O41" s="190"/>
      <c r="P41" s="190"/>
      <c r="Q41" s="190"/>
      <c r="R41" s="190"/>
      <c r="S41" s="216"/>
      <c r="T41" s="75"/>
      <c r="U41" s="111"/>
    </row>
    <row r="42" spans="1:21">
      <c r="A42" s="31">
        <v>6</v>
      </c>
      <c r="B42" s="32" t="s">
        <v>11</v>
      </c>
      <c r="C42" s="33"/>
      <c r="D42" s="34"/>
      <c r="E42" s="35"/>
      <c r="F42" s="39"/>
      <c r="G42" s="39"/>
      <c r="H42" s="40"/>
      <c r="I42" s="37">
        <f>SUM(I43:I47)</f>
        <v>3944.6500000000005</v>
      </c>
      <c r="J42" s="38"/>
      <c r="K42" s="198"/>
      <c r="L42" s="198"/>
      <c r="M42" s="198"/>
      <c r="N42" s="198"/>
      <c r="O42" s="198"/>
      <c r="P42" s="198"/>
      <c r="Q42" s="198"/>
      <c r="R42" s="198"/>
      <c r="S42" s="216"/>
      <c r="T42" s="217">
        <f>I42/I$138</f>
        <v>1.6364207883402648E-2</v>
      </c>
      <c r="U42" s="111"/>
    </row>
    <row r="43" spans="1:21" ht="30">
      <c r="A43" s="114" t="s">
        <v>146</v>
      </c>
      <c r="B43" s="115" t="s">
        <v>12</v>
      </c>
      <c r="C43" s="5" t="s">
        <v>25</v>
      </c>
      <c r="D43" s="116" t="s">
        <v>13</v>
      </c>
      <c r="E43" s="112">
        <f>2*0.36</f>
        <v>0.72</v>
      </c>
      <c r="F43" s="117">
        <v>297.68</v>
      </c>
      <c r="G43" s="124">
        <f>BDI!$B$23</f>
        <v>0.24873184530590153</v>
      </c>
      <c r="H43" s="119">
        <f>TRUNC(F43*(1+G43),2)</f>
        <v>371.72</v>
      </c>
      <c r="I43" s="117">
        <f>TRUNC(E43*H43,2)</f>
        <v>267.63</v>
      </c>
      <c r="J43" s="118" t="s">
        <v>200</v>
      </c>
      <c r="K43" s="190">
        <v>0</v>
      </c>
      <c r="L43" s="189">
        <f t="shared" si="3"/>
        <v>0</v>
      </c>
      <c r="M43" s="190">
        <v>0</v>
      </c>
      <c r="N43" s="189">
        <f t="shared" si="4"/>
        <v>0</v>
      </c>
      <c r="O43" s="190">
        <v>1</v>
      </c>
      <c r="P43" s="189">
        <f t="shared" si="5"/>
        <v>267.63</v>
      </c>
      <c r="Q43" s="190">
        <v>0</v>
      </c>
      <c r="R43" s="189">
        <f t="shared" si="6"/>
        <v>0</v>
      </c>
      <c r="S43" s="216">
        <f t="shared" si="2"/>
        <v>1</v>
      </c>
      <c r="T43" s="75"/>
      <c r="U43" s="111">
        <f t="shared" si="7"/>
        <v>267.63</v>
      </c>
    </row>
    <row r="44" spans="1:21" ht="30">
      <c r="A44" s="114" t="s">
        <v>147</v>
      </c>
      <c r="B44" s="115" t="s">
        <v>0</v>
      </c>
      <c r="C44" s="5" t="s">
        <v>24</v>
      </c>
      <c r="D44" s="116" t="s">
        <v>13</v>
      </c>
      <c r="E44" s="112">
        <f>2*1.26</f>
        <v>2.52</v>
      </c>
      <c r="F44" s="25">
        <v>0</v>
      </c>
      <c r="G44" s="25">
        <v>0</v>
      </c>
      <c r="H44" s="117">
        <v>180</v>
      </c>
      <c r="I44" s="117">
        <f t="shared" ref="I44:I45" si="13">TRUNC(E44*(F44+H44)*(1+G44),2)</f>
        <v>453.6</v>
      </c>
      <c r="J44" s="118" t="s">
        <v>118</v>
      </c>
      <c r="K44" s="190">
        <v>0</v>
      </c>
      <c r="L44" s="189">
        <f t="shared" si="3"/>
        <v>0</v>
      </c>
      <c r="M44" s="190">
        <v>0</v>
      </c>
      <c r="N44" s="189">
        <f t="shared" si="4"/>
        <v>0</v>
      </c>
      <c r="O44" s="190"/>
      <c r="P44" s="189">
        <f t="shared" si="5"/>
        <v>0</v>
      </c>
      <c r="Q44" s="190">
        <v>1</v>
      </c>
      <c r="R44" s="189">
        <f t="shared" si="6"/>
        <v>453.6</v>
      </c>
      <c r="S44" s="216">
        <f t="shared" si="2"/>
        <v>1</v>
      </c>
      <c r="T44" s="75"/>
      <c r="U44" s="111">
        <f t="shared" si="7"/>
        <v>453.6</v>
      </c>
    </row>
    <row r="45" spans="1:21" ht="45">
      <c r="A45" s="114" t="s">
        <v>316</v>
      </c>
      <c r="B45" s="115" t="s">
        <v>3</v>
      </c>
      <c r="C45" s="5" t="s">
        <v>26</v>
      </c>
      <c r="D45" s="116" t="s">
        <v>14</v>
      </c>
      <c r="E45" s="112">
        <v>6</v>
      </c>
      <c r="F45" s="25">
        <v>0</v>
      </c>
      <c r="G45" s="25">
        <v>0</v>
      </c>
      <c r="H45" s="117">
        <v>264.07</v>
      </c>
      <c r="I45" s="117">
        <f t="shared" si="13"/>
        <v>1584.42</v>
      </c>
      <c r="J45" s="118" t="s">
        <v>119</v>
      </c>
      <c r="K45" s="190">
        <v>0</v>
      </c>
      <c r="L45" s="189">
        <f t="shared" si="3"/>
        <v>0</v>
      </c>
      <c r="M45" s="190">
        <v>0</v>
      </c>
      <c r="N45" s="189">
        <f t="shared" si="4"/>
        <v>0</v>
      </c>
      <c r="O45" s="190">
        <v>1</v>
      </c>
      <c r="P45" s="189">
        <f t="shared" si="5"/>
        <v>1584.42</v>
      </c>
      <c r="Q45" s="190">
        <v>0</v>
      </c>
      <c r="R45" s="189">
        <f t="shared" si="6"/>
        <v>0</v>
      </c>
      <c r="S45" s="216">
        <f t="shared" si="2"/>
        <v>1</v>
      </c>
      <c r="T45" s="75"/>
      <c r="U45" s="111">
        <f t="shared" si="7"/>
        <v>1584.42</v>
      </c>
    </row>
    <row r="46" spans="1:21" ht="45">
      <c r="A46" s="114" t="s">
        <v>317</v>
      </c>
      <c r="B46" s="115" t="s">
        <v>65</v>
      </c>
      <c r="C46" s="5" t="s">
        <v>27</v>
      </c>
      <c r="D46" s="116" t="s">
        <v>14</v>
      </c>
      <c r="E46" s="112">
        <v>2</v>
      </c>
      <c r="F46" s="117">
        <v>421.9</v>
      </c>
      <c r="G46" s="124">
        <f>BDI!$B$23</f>
        <v>0.24873184530590153</v>
      </c>
      <c r="H46" s="119">
        <f>TRUNC(F46*(1+G46),2)</f>
        <v>526.83000000000004</v>
      </c>
      <c r="I46" s="117">
        <f>TRUNC(E46*H46,2)</f>
        <v>1053.6600000000001</v>
      </c>
      <c r="J46" s="118" t="s">
        <v>201</v>
      </c>
      <c r="K46" s="190">
        <v>0</v>
      </c>
      <c r="L46" s="189">
        <f t="shared" si="3"/>
        <v>0</v>
      </c>
      <c r="M46" s="190">
        <v>0</v>
      </c>
      <c r="N46" s="189">
        <f t="shared" si="4"/>
        <v>0</v>
      </c>
      <c r="O46" s="190">
        <v>1</v>
      </c>
      <c r="P46" s="189">
        <f t="shared" si="5"/>
        <v>1053.6600000000001</v>
      </c>
      <c r="Q46" s="190">
        <v>0</v>
      </c>
      <c r="R46" s="189">
        <f t="shared" si="6"/>
        <v>0</v>
      </c>
      <c r="S46" s="216">
        <f t="shared" si="2"/>
        <v>1</v>
      </c>
      <c r="T46" s="75"/>
      <c r="U46" s="111">
        <f t="shared" si="7"/>
        <v>1053.6600000000001</v>
      </c>
    </row>
    <row r="47" spans="1:21" ht="45">
      <c r="A47" s="114" t="s">
        <v>318</v>
      </c>
      <c r="B47" s="115" t="s">
        <v>66</v>
      </c>
      <c r="C47" s="5" t="s">
        <v>28</v>
      </c>
      <c r="D47" s="116" t="s">
        <v>14</v>
      </c>
      <c r="E47" s="112">
        <v>1</v>
      </c>
      <c r="F47" s="117">
        <v>468.75</v>
      </c>
      <c r="G47" s="124">
        <f>BDI!$B$23</f>
        <v>0.24873184530590153</v>
      </c>
      <c r="H47" s="119">
        <f>TRUNC(F47*(1+G47),2)</f>
        <v>585.34</v>
      </c>
      <c r="I47" s="117">
        <f>TRUNC(E47*H47,2)</f>
        <v>585.34</v>
      </c>
      <c r="J47" s="118" t="s">
        <v>202</v>
      </c>
      <c r="K47" s="190">
        <v>0</v>
      </c>
      <c r="L47" s="189">
        <f t="shared" si="3"/>
        <v>0</v>
      </c>
      <c r="M47" s="190">
        <v>0</v>
      </c>
      <c r="N47" s="189">
        <f t="shared" si="4"/>
        <v>0</v>
      </c>
      <c r="O47" s="190">
        <v>1</v>
      </c>
      <c r="P47" s="189">
        <f t="shared" si="5"/>
        <v>585.34</v>
      </c>
      <c r="Q47" s="190">
        <v>0</v>
      </c>
      <c r="R47" s="189">
        <f t="shared" si="6"/>
        <v>0</v>
      </c>
      <c r="S47" s="216">
        <f t="shared" si="2"/>
        <v>1</v>
      </c>
      <c r="T47" s="75"/>
      <c r="U47" s="111">
        <f t="shared" si="7"/>
        <v>585.34</v>
      </c>
    </row>
    <row r="48" spans="1:21">
      <c r="A48" s="114"/>
      <c r="B48" s="115"/>
      <c r="C48" s="5"/>
      <c r="D48" s="116"/>
      <c r="E48" s="6"/>
      <c r="F48" s="117"/>
      <c r="G48" s="117"/>
      <c r="H48" s="117"/>
      <c r="I48" s="6"/>
      <c r="J48" s="7"/>
      <c r="K48" s="190"/>
      <c r="L48" s="190"/>
      <c r="M48" s="190"/>
      <c r="N48" s="190"/>
      <c r="O48" s="190"/>
      <c r="P48" s="190"/>
      <c r="Q48" s="190"/>
      <c r="R48" s="190"/>
      <c r="S48" s="216"/>
      <c r="T48" s="75"/>
      <c r="U48" s="111">
        <f t="shared" si="7"/>
        <v>0</v>
      </c>
    </row>
    <row r="49" spans="1:21">
      <c r="A49" s="31">
        <v>7</v>
      </c>
      <c r="B49" s="32" t="s">
        <v>114</v>
      </c>
      <c r="C49" s="33"/>
      <c r="D49" s="34"/>
      <c r="E49" s="35"/>
      <c r="F49" s="35"/>
      <c r="G49" s="35"/>
      <c r="H49" s="36"/>
      <c r="I49" s="37">
        <f>SUM(I50:I53)</f>
        <v>8142.79</v>
      </c>
      <c r="J49" s="38"/>
      <c r="K49" s="198"/>
      <c r="L49" s="198"/>
      <c r="M49" s="198"/>
      <c r="N49" s="198"/>
      <c r="O49" s="198"/>
      <c r="P49" s="198"/>
      <c r="Q49" s="198"/>
      <c r="R49" s="198"/>
      <c r="S49" s="216"/>
      <c r="T49" s="217">
        <f>I49/I$138</f>
        <v>3.3780007937559024E-2</v>
      </c>
      <c r="U49" s="111">
        <f t="shared" si="7"/>
        <v>0</v>
      </c>
    </row>
    <row r="50" spans="1:21" ht="30">
      <c r="A50" s="114" t="s">
        <v>148</v>
      </c>
      <c r="B50" s="115" t="s">
        <v>107</v>
      </c>
      <c r="C50" s="5" t="s">
        <v>117</v>
      </c>
      <c r="D50" s="116" t="s">
        <v>14</v>
      </c>
      <c r="E50" s="112">
        <v>1</v>
      </c>
      <c r="F50" s="25">
        <v>0</v>
      </c>
      <c r="G50" s="25">
        <v>0</v>
      </c>
      <c r="H50" s="117">
        <v>2300</v>
      </c>
      <c r="I50" s="117">
        <f t="shared" ref="I50:I53" si="14">TRUNC(E50*(F50+H50)*(1+G50),2)</f>
        <v>2300</v>
      </c>
      <c r="J50" s="118" t="s">
        <v>120</v>
      </c>
      <c r="K50" s="190">
        <v>0</v>
      </c>
      <c r="L50" s="189">
        <f t="shared" si="3"/>
        <v>0</v>
      </c>
      <c r="M50" s="190">
        <v>0</v>
      </c>
      <c r="N50" s="189">
        <f t="shared" si="4"/>
        <v>0</v>
      </c>
      <c r="O50" s="190">
        <v>0</v>
      </c>
      <c r="P50" s="189">
        <f t="shared" si="5"/>
        <v>0</v>
      </c>
      <c r="Q50" s="190">
        <v>1</v>
      </c>
      <c r="R50" s="189">
        <f t="shared" si="6"/>
        <v>2300</v>
      </c>
      <c r="S50" s="216">
        <f t="shared" si="2"/>
        <v>1</v>
      </c>
      <c r="T50" s="75"/>
      <c r="U50" s="111">
        <f t="shared" si="7"/>
        <v>2300</v>
      </c>
    </row>
    <row r="51" spans="1:21" ht="75">
      <c r="A51" s="114" t="s">
        <v>149</v>
      </c>
      <c r="B51" s="115" t="s">
        <v>108</v>
      </c>
      <c r="C51" s="5" t="s">
        <v>155</v>
      </c>
      <c r="D51" s="116" t="s">
        <v>14</v>
      </c>
      <c r="E51" s="112">
        <v>4</v>
      </c>
      <c r="F51" s="25">
        <v>0</v>
      </c>
      <c r="G51" s="25">
        <v>0</v>
      </c>
      <c r="H51" s="117">
        <v>719.83</v>
      </c>
      <c r="I51" s="117">
        <f t="shared" si="14"/>
        <v>2879.32</v>
      </c>
      <c r="J51" s="118" t="s">
        <v>121</v>
      </c>
      <c r="K51" s="190">
        <v>0</v>
      </c>
      <c r="L51" s="189">
        <f t="shared" si="3"/>
        <v>0</v>
      </c>
      <c r="M51" s="190">
        <v>0</v>
      </c>
      <c r="N51" s="189">
        <f t="shared" si="4"/>
        <v>0</v>
      </c>
      <c r="O51" s="190">
        <v>0</v>
      </c>
      <c r="P51" s="189">
        <f t="shared" si="5"/>
        <v>0</v>
      </c>
      <c r="Q51" s="190">
        <v>1</v>
      </c>
      <c r="R51" s="189">
        <f t="shared" si="6"/>
        <v>2879.32</v>
      </c>
      <c r="S51" s="216">
        <f t="shared" si="2"/>
        <v>1</v>
      </c>
      <c r="T51" s="75"/>
      <c r="U51" s="111">
        <f t="shared" si="7"/>
        <v>2879.32</v>
      </c>
    </row>
    <row r="52" spans="1:21" ht="60">
      <c r="A52" s="114" t="s">
        <v>150</v>
      </c>
      <c r="B52" s="115" t="s">
        <v>109</v>
      </c>
      <c r="C52" s="5"/>
      <c r="D52" s="116" t="s">
        <v>23</v>
      </c>
      <c r="E52" s="112">
        <v>33</v>
      </c>
      <c r="F52" s="25">
        <v>0</v>
      </c>
      <c r="G52" s="25">
        <v>0</v>
      </c>
      <c r="H52" s="6">
        <v>46.74</v>
      </c>
      <c r="I52" s="117">
        <f t="shared" si="14"/>
        <v>1542.42</v>
      </c>
      <c r="J52" s="118" t="s">
        <v>122</v>
      </c>
      <c r="K52" s="190">
        <v>0</v>
      </c>
      <c r="L52" s="189">
        <f t="shared" si="3"/>
        <v>0</v>
      </c>
      <c r="M52" s="190">
        <v>0</v>
      </c>
      <c r="N52" s="189">
        <f t="shared" si="4"/>
        <v>0</v>
      </c>
      <c r="O52" s="190">
        <v>0</v>
      </c>
      <c r="P52" s="189">
        <f t="shared" si="5"/>
        <v>0</v>
      </c>
      <c r="Q52" s="190">
        <v>1</v>
      </c>
      <c r="R52" s="189">
        <f t="shared" si="6"/>
        <v>1542.42</v>
      </c>
      <c r="S52" s="216">
        <f t="shared" si="2"/>
        <v>1</v>
      </c>
      <c r="T52" s="75"/>
      <c r="U52" s="111">
        <f t="shared" si="7"/>
        <v>1542.42</v>
      </c>
    </row>
    <row r="53" spans="1:21" ht="45">
      <c r="A53" s="114" t="s">
        <v>151</v>
      </c>
      <c r="B53" s="115" t="s">
        <v>110</v>
      </c>
      <c r="C53" s="5"/>
      <c r="D53" s="116" t="s">
        <v>23</v>
      </c>
      <c r="E53" s="112">
        <v>47.4</v>
      </c>
      <c r="F53" s="25">
        <v>0</v>
      </c>
      <c r="G53" s="25">
        <v>0</v>
      </c>
      <c r="H53" s="6">
        <v>29.98</v>
      </c>
      <c r="I53" s="117">
        <f t="shared" si="14"/>
        <v>1421.05</v>
      </c>
      <c r="J53" s="118" t="s">
        <v>123</v>
      </c>
      <c r="K53" s="190">
        <v>0</v>
      </c>
      <c r="L53" s="189">
        <f t="shared" si="3"/>
        <v>0</v>
      </c>
      <c r="M53" s="190">
        <v>1</v>
      </c>
      <c r="N53" s="189">
        <f t="shared" si="4"/>
        <v>1421.05</v>
      </c>
      <c r="O53" s="190">
        <v>0</v>
      </c>
      <c r="P53" s="189">
        <f t="shared" si="5"/>
        <v>0</v>
      </c>
      <c r="Q53" s="190">
        <v>0</v>
      </c>
      <c r="R53" s="189">
        <f t="shared" si="6"/>
        <v>0</v>
      </c>
      <c r="S53" s="216">
        <f t="shared" si="2"/>
        <v>1</v>
      </c>
      <c r="T53" s="75"/>
      <c r="U53" s="111">
        <f t="shared" si="7"/>
        <v>1421.05</v>
      </c>
    </row>
    <row r="54" spans="1:21">
      <c r="A54" s="122"/>
      <c r="B54" s="123"/>
      <c r="C54" s="16"/>
      <c r="D54" s="17"/>
      <c r="E54" s="18"/>
      <c r="F54" s="18"/>
      <c r="G54" s="18"/>
      <c r="H54" s="18"/>
      <c r="I54" s="20"/>
      <c r="J54" s="21"/>
      <c r="K54" s="190"/>
      <c r="L54" s="190"/>
      <c r="M54" s="190"/>
      <c r="N54" s="190"/>
      <c r="O54" s="190"/>
      <c r="P54" s="190"/>
      <c r="Q54" s="190"/>
      <c r="R54" s="190"/>
      <c r="S54" s="216">
        <f t="shared" si="2"/>
        <v>0</v>
      </c>
      <c r="T54" s="75"/>
      <c r="U54" s="111"/>
    </row>
    <row r="55" spans="1:21">
      <c r="A55" s="31">
        <v>8</v>
      </c>
      <c r="B55" s="32" t="s">
        <v>68</v>
      </c>
      <c r="C55" s="33"/>
      <c r="D55" s="34"/>
      <c r="E55" s="35"/>
      <c r="F55" s="39"/>
      <c r="G55" s="39"/>
      <c r="H55" s="40"/>
      <c r="I55" s="37">
        <f>SUM(I56:I85)</f>
        <v>42204.590000000004</v>
      </c>
      <c r="J55" s="38"/>
      <c r="K55" s="198"/>
      <c r="L55" s="198"/>
      <c r="M55" s="198"/>
      <c r="N55" s="198"/>
      <c r="O55" s="198"/>
      <c r="P55" s="198"/>
      <c r="Q55" s="198"/>
      <c r="R55" s="198"/>
      <c r="S55" s="216">
        <f t="shared" si="2"/>
        <v>0</v>
      </c>
      <c r="T55" s="217">
        <f>I55/I$138</f>
        <v>0.17508389448842773</v>
      </c>
      <c r="U55" s="111"/>
    </row>
    <row r="56" spans="1:21" ht="45">
      <c r="A56" s="114" t="s">
        <v>152</v>
      </c>
      <c r="B56" s="115" t="s">
        <v>464</v>
      </c>
      <c r="C56" s="234" t="s">
        <v>469</v>
      </c>
      <c r="D56" s="116" t="s">
        <v>14</v>
      </c>
      <c r="E56" s="112">
        <v>1</v>
      </c>
      <c r="F56" s="117">
        <v>43</v>
      </c>
      <c r="G56" s="124">
        <f>BDI!$B$23</f>
        <v>0.24873184530590153</v>
      </c>
      <c r="H56" s="119">
        <f t="shared" ref="H56:H67" si="15">TRUNC(F56*(1+G56),2)</f>
        <v>53.69</v>
      </c>
      <c r="I56" s="117">
        <f t="shared" ref="I56:I67" si="16">TRUNC(E56*H56,2)</f>
        <v>53.69</v>
      </c>
      <c r="J56" s="118" t="s">
        <v>449</v>
      </c>
      <c r="K56" s="190">
        <v>1</v>
      </c>
      <c r="L56" s="189">
        <f t="shared" si="3"/>
        <v>53.69</v>
      </c>
      <c r="M56" s="190">
        <v>0</v>
      </c>
      <c r="N56" s="189">
        <f t="shared" si="4"/>
        <v>0</v>
      </c>
      <c r="O56" s="190">
        <v>0</v>
      </c>
      <c r="P56" s="189">
        <f t="shared" si="5"/>
        <v>0</v>
      </c>
      <c r="Q56" s="190">
        <v>0</v>
      </c>
      <c r="R56" s="189">
        <f t="shared" si="6"/>
        <v>0</v>
      </c>
      <c r="S56" s="216">
        <f t="shared" si="2"/>
        <v>1</v>
      </c>
      <c r="T56" s="75"/>
      <c r="U56" s="111">
        <f t="shared" si="7"/>
        <v>53.69</v>
      </c>
    </row>
    <row r="57" spans="1:21" ht="60">
      <c r="A57" s="114" t="s">
        <v>319</v>
      </c>
      <c r="B57" s="115" t="s">
        <v>466</v>
      </c>
      <c r="C57" s="5" t="s">
        <v>467</v>
      </c>
      <c r="D57" s="116" t="s">
        <v>14</v>
      </c>
      <c r="E57" s="112">
        <v>2</v>
      </c>
      <c r="F57" s="117">
        <v>212.86</v>
      </c>
      <c r="G57" s="124">
        <f>BDI!$B$23</f>
        <v>0.24873184530590153</v>
      </c>
      <c r="H57" s="119">
        <f t="shared" si="15"/>
        <v>265.8</v>
      </c>
      <c r="I57" s="117">
        <f t="shared" si="16"/>
        <v>531.6</v>
      </c>
      <c r="J57" s="118" t="s">
        <v>203</v>
      </c>
      <c r="K57" s="190">
        <v>0</v>
      </c>
      <c r="L57" s="189">
        <f t="shared" si="3"/>
        <v>0</v>
      </c>
      <c r="M57" s="190">
        <v>0</v>
      </c>
      <c r="N57" s="189">
        <f t="shared" si="4"/>
        <v>0</v>
      </c>
      <c r="O57" s="190">
        <v>0</v>
      </c>
      <c r="P57" s="189">
        <f t="shared" si="5"/>
        <v>0</v>
      </c>
      <c r="Q57" s="190">
        <v>1</v>
      </c>
      <c r="R57" s="189">
        <f t="shared" si="6"/>
        <v>531.6</v>
      </c>
      <c r="S57" s="216">
        <f t="shared" si="2"/>
        <v>1</v>
      </c>
      <c r="T57" s="75"/>
      <c r="U57" s="111">
        <f t="shared" si="7"/>
        <v>531.6</v>
      </c>
    </row>
    <row r="58" spans="1:21" ht="30">
      <c r="A58" s="114" t="s">
        <v>320</v>
      </c>
      <c r="B58" s="115" t="s">
        <v>69</v>
      </c>
      <c r="C58" s="5" t="s">
        <v>115</v>
      </c>
      <c r="D58" s="116" t="s">
        <v>14</v>
      </c>
      <c r="E58" s="6">
        <v>12</v>
      </c>
      <c r="F58" s="77">
        <v>11.74</v>
      </c>
      <c r="G58" s="124">
        <f>BDI!$B$23</f>
        <v>0.24873184530590153</v>
      </c>
      <c r="H58" s="119">
        <f t="shared" si="15"/>
        <v>14.66</v>
      </c>
      <c r="I58" s="117">
        <f t="shared" si="16"/>
        <v>175.92</v>
      </c>
      <c r="J58" s="118" t="s">
        <v>204</v>
      </c>
      <c r="K58" s="190">
        <v>0</v>
      </c>
      <c r="L58" s="189">
        <f t="shared" si="3"/>
        <v>0</v>
      </c>
      <c r="M58" s="190">
        <v>0</v>
      </c>
      <c r="N58" s="189">
        <f t="shared" si="4"/>
        <v>0</v>
      </c>
      <c r="O58" s="190">
        <v>0</v>
      </c>
      <c r="P58" s="189">
        <f t="shared" si="5"/>
        <v>0</v>
      </c>
      <c r="Q58" s="190">
        <v>1</v>
      </c>
      <c r="R58" s="189">
        <f t="shared" si="6"/>
        <v>175.92</v>
      </c>
      <c r="S58" s="216">
        <f t="shared" si="2"/>
        <v>1</v>
      </c>
      <c r="T58" s="75"/>
      <c r="U58" s="111">
        <f t="shared" si="7"/>
        <v>175.92</v>
      </c>
    </row>
    <row r="59" spans="1:21" ht="30">
      <c r="A59" s="114" t="s">
        <v>321</v>
      </c>
      <c r="B59" s="115" t="s">
        <v>446</v>
      </c>
      <c r="C59" s="5" t="s">
        <v>447</v>
      </c>
      <c r="D59" s="116" t="s">
        <v>14</v>
      </c>
      <c r="E59" s="6">
        <v>1</v>
      </c>
      <c r="F59" s="77">
        <v>18.39</v>
      </c>
      <c r="G59" s="124">
        <f>BDI!$B$23</f>
        <v>0.24873184530590153</v>
      </c>
      <c r="H59" s="119">
        <f t="shared" si="15"/>
        <v>22.96</v>
      </c>
      <c r="I59" s="117">
        <f t="shared" si="16"/>
        <v>22.96</v>
      </c>
      <c r="J59" s="118" t="s">
        <v>448</v>
      </c>
      <c r="K59" s="190">
        <v>0</v>
      </c>
      <c r="L59" s="189">
        <f t="shared" si="3"/>
        <v>0</v>
      </c>
      <c r="M59" s="190">
        <v>0</v>
      </c>
      <c r="N59" s="189">
        <f t="shared" si="4"/>
        <v>0</v>
      </c>
      <c r="O59" s="190">
        <v>0</v>
      </c>
      <c r="P59" s="189">
        <f t="shared" si="5"/>
        <v>0</v>
      </c>
      <c r="Q59" s="190">
        <v>1</v>
      </c>
      <c r="R59" s="189">
        <f t="shared" si="6"/>
        <v>22.96</v>
      </c>
      <c r="S59" s="216">
        <f t="shared" si="2"/>
        <v>1</v>
      </c>
      <c r="T59" s="75"/>
      <c r="U59" s="111">
        <f t="shared" si="7"/>
        <v>22.96</v>
      </c>
    </row>
    <row r="60" spans="1:21" ht="30">
      <c r="A60" s="114" t="s">
        <v>322</v>
      </c>
      <c r="B60" s="115" t="s">
        <v>470</v>
      </c>
      <c r="C60" s="5" t="s">
        <v>447</v>
      </c>
      <c r="D60" s="116" t="s">
        <v>14</v>
      </c>
      <c r="E60" s="6">
        <v>2</v>
      </c>
      <c r="F60" s="77">
        <v>76.930000000000007</v>
      </c>
      <c r="G60" s="124">
        <f>BDI!$B$23</f>
        <v>0.24873184530590153</v>
      </c>
      <c r="H60" s="119">
        <f t="shared" si="15"/>
        <v>96.06</v>
      </c>
      <c r="I60" s="117">
        <f t="shared" si="16"/>
        <v>192.12</v>
      </c>
      <c r="J60" s="118" t="s">
        <v>471</v>
      </c>
      <c r="K60" s="190">
        <v>0.5</v>
      </c>
      <c r="L60" s="189">
        <f t="shared" si="3"/>
        <v>96.06</v>
      </c>
      <c r="M60" s="190">
        <v>0</v>
      </c>
      <c r="N60" s="189">
        <f t="shared" si="4"/>
        <v>0</v>
      </c>
      <c r="O60" s="190">
        <v>0</v>
      </c>
      <c r="P60" s="189">
        <f t="shared" si="5"/>
        <v>0</v>
      </c>
      <c r="Q60" s="190">
        <v>0.5</v>
      </c>
      <c r="R60" s="189">
        <f t="shared" si="6"/>
        <v>96.06</v>
      </c>
      <c r="S60" s="216">
        <f t="shared" si="2"/>
        <v>1</v>
      </c>
      <c r="T60" s="75"/>
      <c r="U60" s="111">
        <f t="shared" si="7"/>
        <v>192.12</v>
      </c>
    </row>
    <row r="61" spans="1:21" ht="30">
      <c r="A61" s="114" t="s">
        <v>323</v>
      </c>
      <c r="B61" s="115" t="s">
        <v>70</v>
      </c>
      <c r="C61" s="234" t="s">
        <v>116</v>
      </c>
      <c r="D61" s="116" t="s">
        <v>14</v>
      </c>
      <c r="E61" s="6">
        <v>1</v>
      </c>
      <c r="F61" s="77">
        <v>103.83</v>
      </c>
      <c r="G61" s="124">
        <f>BDI!$B$23</f>
        <v>0.24873184530590153</v>
      </c>
      <c r="H61" s="119">
        <f t="shared" si="15"/>
        <v>129.65</v>
      </c>
      <c r="I61" s="117">
        <f t="shared" si="16"/>
        <v>129.65</v>
      </c>
      <c r="J61" s="118" t="s">
        <v>205</v>
      </c>
      <c r="K61" s="190">
        <v>1</v>
      </c>
      <c r="L61" s="189">
        <f t="shared" si="3"/>
        <v>129.65</v>
      </c>
      <c r="M61" s="190">
        <v>0</v>
      </c>
      <c r="N61" s="189">
        <f t="shared" si="4"/>
        <v>0</v>
      </c>
      <c r="O61" s="190">
        <v>0</v>
      </c>
      <c r="P61" s="189">
        <f t="shared" si="5"/>
        <v>0</v>
      </c>
      <c r="Q61" s="190"/>
      <c r="R61" s="189">
        <f t="shared" si="6"/>
        <v>0</v>
      </c>
      <c r="S61" s="216">
        <f t="shared" si="2"/>
        <v>1</v>
      </c>
      <c r="T61" s="75"/>
      <c r="U61" s="111">
        <f t="shared" si="7"/>
        <v>129.65</v>
      </c>
    </row>
    <row r="62" spans="1:21" ht="45">
      <c r="A62" s="114" t="s">
        <v>324</v>
      </c>
      <c r="B62" s="115" t="s">
        <v>474</v>
      </c>
      <c r="C62" s="5" t="s">
        <v>71</v>
      </c>
      <c r="D62" s="116" t="s">
        <v>23</v>
      </c>
      <c r="E62" s="6">
        <v>60</v>
      </c>
      <c r="F62" s="77">
        <v>1.92</v>
      </c>
      <c r="G62" s="124">
        <f>BDI!$B$23</f>
        <v>0.24873184530590153</v>
      </c>
      <c r="H62" s="119">
        <f t="shared" si="15"/>
        <v>2.39</v>
      </c>
      <c r="I62" s="117">
        <f t="shared" si="16"/>
        <v>143.4</v>
      </c>
      <c r="J62" s="118" t="s">
        <v>206</v>
      </c>
      <c r="K62" s="190">
        <v>0</v>
      </c>
      <c r="L62" s="189">
        <f t="shared" si="3"/>
        <v>0</v>
      </c>
      <c r="M62" s="190">
        <v>0</v>
      </c>
      <c r="N62" s="189">
        <f t="shared" si="4"/>
        <v>0</v>
      </c>
      <c r="O62" s="190">
        <v>0</v>
      </c>
      <c r="P62" s="189">
        <f t="shared" si="5"/>
        <v>0</v>
      </c>
      <c r="Q62" s="190">
        <v>1</v>
      </c>
      <c r="R62" s="189">
        <f t="shared" si="6"/>
        <v>143.4</v>
      </c>
      <c r="S62" s="216">
        <f t="shared" si="2"/>
        <v>1</v>
      </c>
      <c r="T62" s="75"/>
      <c r="U62" s="111">
        <f t="shared" si="7"/>
        <v>143.4</v>
      </c>
    </row>
    <row r="63" spans="1:21" ht="45">
      <c r="A63" s="114" t="s">
        <v>325</v>
      </c>
      <c r="B63" s="115" t="s">
        <v>475</v>
      </c>
      <c r="C63" s="5" t="s">
        <v>72</v>
      </c>
      <c r="D63" s="116" t="s">
        <v>23</v>
      </c>
      <c r="E63" s="6">
        <v>540</v>
      </c>
      <c r="F63" s="77">
        <v>3.66</v>
      </c>
      <c r="G63" s="124">
        <f>BDI!$B$23</f>
        <v>0.24873184530590153</v>
      </c>
      <c r="H63" s="119">
        <f t="shared" si="15"/>
        <v>4.57</v>
      </c>
      <c r="I63" s="117">
        <f t="shared" si="16"/>
        <v>2467.8000000000002</v>
      </c>
      <c r="J63" s="118" t="s">
        <v>207</v>
      </c>
      <c r="K63" s="190">
        <v>0</v>
      </c>
      <c r="L63" s="189">
        <f t="shared" si="3"/>
        <v>0</v>
      </c>
      <c r="M63" s="190">
        <v>0</v>
      </c>
      <c r="N63" s="189">
        <f t="shared" si="4"/>
        <v>0</v>
      </c>
      <c r="O63" s="190">
        <v>0</v>
      </c>
      <c r="P63" s="189">
        <f t="shared" si="5"/>
        <v>0</v>
      </c>
      <c r="Q63" s="190">
        <v>1</v>
      </c>
      <c r="R63" s="189">
        <f t="shared" si="6"/>
        <v>2467.8000000000002</v>
      </c>
      <c r="S63" s="216">
        <f t="shared" si="2"/>
        <v>1</v>
      </c>
      <c r="T63" s="75"/>
      <c r="U63" s="111">
        <f t="shared" si="7"/>
        <v>2467.8000000000002</v>
      </c>
    </row>
    <row r="64" spans="1:21" ht="45">
      <c r="A64" s="114" t="s">
        <v>326</v>
      </c>
      <c r="B64" s="115" t="s">
        <v>476</v>
      </c>
      <c r="C64" s="5" t="s">
        <v>73</v>
      </c>
      <c r="D64" s="116" t="s">
        <v>23</v>
      </c>
      <c r="E64" s="6">
        <v>110</v>
      </c>
      <c r="F64" s="77">
        <v>5.66</v>
      </c>
      <c r="G64" s="124">
        <f>BDI!$B$23</f>
        <v>0.24873184530590153</v>
      </c>
      <c r="H64" s="119">
        <f t="shared" si="15"/>
        <v>7.06</v>
      </c>
      <c r="I64" s="117">
        <f t="shared" si="16"/>
        <v>776.6</v>
      </c>
      <c r="J64" s="118" t="s">
        <v>208</v>
      </c>
      <c r="K64" s="190">
        <v>0</v>
      </c>
      <c r="L64" s="189">
        <f t="shared" si="3"/>
        <v>0</v>
      </c>
      <c r="M64" s="190">
        <v>0</v>
      </c>
      <c r="N64" s="189">
        <f t="shared" si="4"/>
        <v>0</v>
      </c>
      <c r="O64" s="190">
        <v>1</v>
      </c>
      <c r="P64" s="189">
        <f t="shared" si="5"/>
        <v>776.6</v>
      </c>
      <c r="Q64" s="190">
        <v>0</v>
      </c>
      <c r="R64" s="189">
        <f t="shared" si="6"/>
        <v>0</v>
      </c>
      <c r="S64" s="216">
        <f t="shared" si="2"/>
        <v>1</v>
      </c>
      <c r="T64" s="75"/>
      <c r="U64" s="111">
        <f t="shared" si="7"/>
        <v>776.6</v>
      </c>
    </row>
    <row r="65" spans="1:21" ht="45">
      <c r="A65" s="114" t="s">
        <v>327</v>
      </c>
      <c r="B65" s="115" t="s">
        <v>481</v>
      </c>
      <c r="C65" s="5" t="s">
        <v>453</v>
      </c>
      <c r="D65" s="116" t="s">
        <v>23</v>
      </c>
      <c r="E65" s="6">
        <v>65</v>
      </c>
      <c r="F65" s="229">
        <v>7.97</v>
      </c>
      <c r="G65" s="124">
        <f>BDI!$B$23</f>
        <v>0.24873184530590153</v>
      </c>
      <c r="H65" s="119">
        <f t="shared" si="15"/>
        <v>9.9499999999999993</v>
      </c>
      <c r="I65" s="117">
        <f t="shared" si="16"/>
        <v>646.75</v>
      </c>
      <c r="J65" s="118" t="s">
        <v>454</v>
      </c>
      <c r="K65" s="190">
        <v>1</v>
      </c>
      <c r="L65" s="189">
        <f t="shared" si="3"/>
        <v>646.75</v>
      </c>
      <c r="M65" s="190">
        <v>0</v>
      </c>
      <c r="N65" s="189">
        <f t="shared" si="4"/>
        <v>0</v>
      </c>
      <c r="O65" s="190">
        <v>0</v>
      </c>
      <c r="P65" s="189">
        <f t="shared" si="5"/>
        <v>0</v>
      </c>
      <c r="Q65" s="190">
        <v>0</v>
      </c>
      <c r="R65" s="189">
        <f t="shared" si="6"/>
        <v>0</v>
      </c>
      <c r="S65" s="216">
        <f t="shared" si="2"/>
        <v>1</v>
      </c>
      <c r="T65" s="75"/>
      <c r="U65" s="111">
        <f t="shared" si="7"/>
        <v>646.75</v>
      </c>
    </row>
    <row r="66" spans="1:21" ht="45">
      <c r="A66" s="114" t="s">
        <v>328</v>
      </c>
      <c r="B66" s="115" t="s">
        <v>482</v>
      </c>
      <c r="C66" s="5" t="s">
        <v>455</v>
      </c>
      <c r="D66" s="116" t="s">
        <v>23</v>
      </c>
      <c r="E66" s="6">
        <v>250</v>
      </c>
      <c r="F66" s="229">
        <v>12.02</v>
      </c>
      <c r="G66" s="124">
        <f>BDI!$B$23</f>
        <v>0.24873184530590153</v>
      </c>
      <c r="H66" s="119">
        <f t="shared" si="15"/>
        <v>15</v>
      </c>
      <c r="I66" s="117">
        <f t="shared" si="16"/>
        <v>3750</v>
      </c>
      <c r="J66" s="118" t="s">
        <v>456</v>
      </c>
      <c r="K66" s="190">
        <v>1</v>
      </c>
      <c r="L66" s="189">
        <f t="shared" si="3"/>
        <v>3750</v>
      </c>
      <c r="M66" s="190">
        <v>0</v>
      </c>
      <c r="N66" s="189">
        <f t="shared" si="4"/>
        <v>0</v>
      </c>
      <c r="O66" s="190">
        <v>0</v>
      </c>
      <c r="P66" s="189">
        <f t="shared" si="5"/>
        <v>0</v>
      </c>
      <c r="Q66" s="190">
        <v>0</v>
      </c>
      <c r="R66" s="189">
        <f t="shared" si="6"/>
        <v>0</v>
      </c>
      <c r="S66" s="216">
        <f t="shared" si="2"/>
        <v>1</v>
      </c>
      <c r="T66" s="75"/>
      <c r="U66" s="111">
        <f t="shared" si="7"/>
        <v>3750</v>
      </c>
    </row>
    <row r="67" spans="1:21" ht="75">
      <c r="A67" s="114" t="s">
        <v>329</v>
      </c>
      <c r="B67" s="115" t="s">
        <v>171</v>
      </c>
      <c r="C67" s="5" t="s">
        <v>170</v>
      </c>
      <c r="D67" s="116" t="s">
        <v>14</v>
      </c>
      <c r="E67" s="6">
        <f>E79*2</f>
        <v>30</v>
      </c>
      <c r="F67" s="117">
        <v>468</v>
      </c>
      <c r="G67" s="124">
        <f>BDI!$B$23</f>
        <v>0.24873184530590153</v>
      </c>
      <c r="H67" s="119">
        <f t="shared" si="15"/>
        <v>584.4</v>
      </c>
      <c r="I67" s="117">
        <f t="shared" si="16"/>
        <v>17532</v>
      </c>
      <c r="J67" s="118" t="s">
        <v>172</v>
      </c>
      <c r="K67" s="190">
        <v>0</v>
      </c>
      <c r="L67" s="189">
        <f t="shared" si="3"/>
        <v>0</v>
      </c>
      <c r="M67" s="190">
        <v>0</v>
      </c>
      <c r="N67" s="189">
        <f t="shared" si="4"/>
        <v>0</v>
      </c>
      <c r="O67" s="190">
        <v>1</v>
      </c>
      <c r="P67" s="189">
        <f t="shared" si="5"/>
        <v>17532</v>
      </c>
      <c r="Q67" s="190">
        <v>0</v>
      </c>
      <c r="R67" s="189">
        <f t="shared" si="6"/>
        <v>0</v>
      </c>
      <c r="S67" s="216">
        <f t="shared" si="2"/>
        <v>1</v>
      </c>
      <c r="T67" s="75"/>
      <c r="U67" s="111">
        <f t="shared" si="7"/>
        <v>17532</v>
      </c>
    </row>
    <row r="68" spans="1:21" ht="75">
      <c r="A68" s="114" t="s">
        <v>330</v>
      </c>
      <c r="B68" s="115" t="s">
        <v>79</v>
      </c>
      <c r="C68" s="5" t="s">
        <v>77</v>
      </c>
      <c r="D68" s="116" t="s">
        <v>23</v>
      </c>
      <c r="E68" s="126">
        <v>24.96</v>
      </c>
      <c r="F68" s="25">
        <v>0</v>
      </c>
      <c r="G68" s="25">
        <v>0</v>
      </c>
      <c r="H68" s="117">
        <v>89</v>
      </c>
      <c r="I68" s="117">
        <f t="shared" ref="I68:I79" si="17">TRUNC(E68*(F68+H68)*(1+G68),2)</f>
        <v>2221.44</v>
      </c>
      <c r="J68" s="118" t="s">
        <v>124</v>
      </c>
      <c r="K68" s="190">
        <v>0</v>
      </c>
      <c r="L68" s="189">
        <f t="shared" si="3"/>
        <v>0</v>
      </c>
      <c r="M68" s="190">
        <v>0</v>
      </c>
      <c r="N68" s="189">
        <f t="shared" si="4"/>
        <v>0</v>
      </c>
      <c r="O68" s="190">
        <v>1</v>
      </c>
      <c r="P68" s="189">
        <f t="shared" si="5"/>
        <v>2221.44</v>
      </c>
      <c r="Q68" s="190">
        <v>0</v>
      </c>
      <c r="R68" s="189">
        <f t="shared" si="6"/>
        <v>0</v>
      </c>
      <c r="S68" s="216">
        <f t="shared" si="2"/>
        <v>1</v>
      </c>
      <c r="T68" s="75"/>
      <c r="U68" s="111">
        <f t="shared" si="7"/>
        <v>2221.44</v>
      </c>
    </row>
    <row r="69" spans="1:21" ht="75">
      <c r="A69" s="114" t="s">
        <v>331</v>
      </c>
      <c r="B69" s="115" t="s">
        <v>74</v>
      </c>
      <c r="C69" s="5" t="s">
        <v>78</v>
      </c>
      <c r="D69" s="116" t="s">
        <v>23</v>
      </c>
      <c r="E69" s="126">
        <v>44.68</v>
      </c>
      <c r="F69" s="25">
        <v>0</v>
      </c>
      <c r="G69" s="25">
        <v>0</v>
      </c>
      <c r="H69" s="117">
        <v>96</v>
      </c>
      <c r="I69" s="117">
        <f t="shared" si="17"/>
        <v>4289.28</v>
      </c>
      <c r="J69" s="118" t="s">
        <v>125</v>
      </c>
      <c r="K69" s="190">
        <v>0</v>
      </c>
      <c r="L69" s="189">
        <f t="shared" si="3"/>
        <v>0</v>
      </c>
      <c r="M69" s="190">
        <v>0</v>
      </c>
      <c r="N69" s="189">
        <f t="shared" si="4"/>
        <v>0</v>
      </c>
      <c r="O69" s="190">
        <v>1</v>
      </c>
      <c r="P69" s="189">
        <f t="shared" si="5"/>
        <v>4289.28</v>
      </c>
      <c r="Q69" s="190">
        <v>0</v>
      </c>
      <c r="R69" s="189">
        <f t="shared" si="6"/>
        <v>0</v>
      </c>
      <c r="S69" s="216">
        <f t="shared" si="2"/>
        <v>1</v>
      </c>
      <c r="T69" s="75"/>
      <c r="U69" s="111">
        <f t="shared" si="7"/>
        <v>4289.28</v>
      </c>
    </row>
    <row r="70" spans="1:21">
      <c r="A70" s="114" t="s">
        <v>332</v>
      </c>
      <c r="B70" s="6" t="s">
        <v>80</v>
      </c>
      <c r="C70" s="5" t="s">
        <v>82</v>
      </c>
      <c r="D70" s="116" t="s">
        <v>14</v>
      </c>
      <c r="E70" s="112">
        <v>25</v>
      </c>
      <c r="F70" s="117">
        <v>7.2</v>
      </c>
      <c r="G70" s="124">
        <f>BDI!$B$23</f>
        <v>0.24873184530590153</v>
      </c>
      <c r="H70" s="119">
        <f t="shared" ref="H70:H78" si="18">TRUNC(F70*(1+G70),2)</f>
        <v>8.99</v>
      </c>
      <c r="I70" s="117">
        <f t="shared" ref="I70:I78" si="19">TRUNC(E70*H70,2)</f>
        <v>224.75</v>
      </c>
      <c r="J70" s="118" t="s">
        <v>209</v>
      </c>
      <c r="K70" s="190">
        <v>0</v>
      </c>
      <c r="L70" s="189">
        <f t="shared" si="3"/>
        <v>0</v>
      </c>
      <c r="M70" s="190">
        <v>0</v>
      </c>
      <c r="N70" s="189">
        <f t="shared" si="4"/>
        <v>0</v>
      </c>
      <c r="O70" s="190">
        <v>1</v>
      </c>
      <c r="P70" s="189">
        <f t="shared" si="5"/>
        <v>224.75</v>
      </c>
      <c r="Q70" s="190">
        <v>0</v>
      </c>
      <c r="R70" s="189">
        <f t="shared" si="6"/>
        <v>0</v>
      </c>
      <c r="S70" s="216">
        <f t="shared" si="2"/>
        <v>1</v>
      </c>
      <c r="T70" s="75"/>
      <c r="U70" s="111">
        <f t="shared" si="7"/>
        <v>224.75</v>
      </c>
    </row>
    <row r="71" spans="1:21">
      <c r="A71" s="114" t="s">
        <v>333</v>
      </c>
      <c r="B71" s="6" t="s">
        <v>81</v>
      </c>
      <c r="C71" s="5" t="s">
        <v>83</v>
      </c>
      <c r="D71" s="116" t="s">
        <v>14</v>
      </c>
      <c r="E71" s="112">
        <v>27</v>
      </c>
      <c r="F71" s="117">
        <v>6.08</v>
      </c>
      <c r="G71" s="124">
        <f>BDI!$B$23</f>
        <v>0.24873184530590153</v>
      </c>
      <c r="H71" s="119">
        <f t="shared" si="18"/>
        <v>7.59</v>
      </c>
      <c r="I71" s="117">
        <f t="shared" si="19"/>
        <v>204.93</v>
      </c>
      <c r="J71" s="118" t="s">
        <v>210</v>
      </c>
      <c r="K71" s="190">
        <v>0</v>
      </c>
      <c r="L71" s="189">
        <f t="shared" si="3"/>
        <v>0</v>
      </c>
      <c r="M71" s="190">
        <v>0</v>
      </c>
      <c r="N71" s="189">
        <f t="shared" si="4"/>
        <v>0</v>
      </c>
      <c r="O71" s="190">
        <v>0</v>
      </c>
      <c r="P71" s="189">
        <f t="shared" si="5"/>
        <v>0</v>
      </c>
      <c r="Q71" s="190">
        <v>1</v>
      </c>
      <c r="R71" s="189">
        <f t="shared" si="6"/>
        <v>204.93</v>
      </c>
      <c r="S71" s="216">
        <f t="shared" si="2"/>
        <v>1</v>
      </c>
      <c r="T71" s="75"/>
      <c r="U71" s="111">
        <f t="shared" si="7"/>
        <v>204.93</v>
      </c>
    </row>
    <row r="72" spans="1:21">
      <c r="A72" s="114" t="s">
        <v>334</v>
      </c>
      <c r="B72" s="115" t="s">
        <v>84</v>
      </c>
      <c r="C72" s="5" t="s">
        <v>89</v>
      </c>
      <c r="D72" s="116" t="s">
        <v>14</v>
      </c>
      <c r="E72" s="112">
        <v>5</v>
      </c>
      <c r="F72" s="117">
        <v>35.53</v>
      </c>
      <c r="G72" s="124">
        <f>BDI!$B$23</f>
        <v>0.24873184530590153</v>
      </c>
      <c r="H72" s="119">
        <f t="shared" si="18"/>
        <v>44.36</v>
      </c>
      <c r="I72" s="117">
        <f t="shared" si="19"/>
        <v>221.8</v>
      </c>
      <c r="J72" s="118" t="s">
        <v>211</v>
      </c>
      <c r="K72" s="190">
        <v>0</v>
      </c>
      <c r="L72" s="189">
        <f t="shared" si="3"/>
        <v>0</v>
      </c>
      <c r="M72" s="190">
        <v>0</v>
      </c>
      <c r="N72" s="189">
        <f t="shared" si="4"/>
        <v>0</v>
      </c>
      <c r="O72" s="190">
        <v>0</v>
      </c>
      <c r="P72" s="189">
        <f t="shared" si="5"/>
        <v>0</v>
      </c>
      <c r="Q72" s="190">
        <v>1</v>
      </c>
      <c r="R72" s="189">
        <f t="shared" si="6"/>
        <v>221.8</v>
      </c>
      <c r="S72" s="216">
        <f t="shared" si="2"/>
        <v>1</v>
      </c>
      <c r="T72" s="75"/>
      <c r="U72" s="111">
        <f t="shared" si="7"/>
        <v>221.8</v>
      </c>
    </row>
    <row r="73" spans="1:21" ht="30">
      <c r="A73" s="114" t="s">
        <v>335</v>
      </c>
      <c r="B73" s="115" t="s">
        <v>85</v>
      </c>
      <c r="C73" s="5" t="s">
        <v>87</v>
      </c>
      <c r="D73" s="116" t="s">
        <v>14</v>
      </c>
      <c r="E73" s="112">
        <v>6</v>
      </c>
      <c r="F73" s="117">
        <v>13.24</v>
      </c>
      <c r="G73" s="124">
        <f>BDI!$B$23</f>
        <v>0.24873184530590153</v>
      </c>
      <c r="H73" s="119">
        <f t="shared" si="18"/>
        <v>16.53</v>
      </c>
      <c r="I73" s="117">
        <f t="shared" si="19"/>
        <v>99.18</v>
      </c>
      <c r="J73" s="118" t="s">
        <v>212</v>
      </c>
      <c r="K73" s="190">
        <v>0</v>
      </c>
      <c r="L73" s="189">
        <f t="shared" si="3"/>
        <v>0</v>
      </c>
      <c r="M73" s="190">
        <v>0</v>
      </c>
      <c r="N73" s="189">
        <f t="shared" si="4"/>
        <v>0</v>
      </c>
      <c r="O73" s="190">
        <v>1</v>
      </c>
      <c r="P73" s="189">
        <f t="shared" si="5"/>
        <v>99.18</v>
      </c>
      <c r="Q73" s="190">
        <v>0</v>
      </c>
      <c r="R73" s="189">
        <f t="shared" si="6"/>
        <v>0</v>
      </c>
      <c r="S73" s="216">
        <f t="shared" si="2"/>
        <v>1</v>
      </c>
      <c r="T73" s="75"/>
      <c r="U73" s="111">
        <f t="shared" si="7"/>
        <v>99.18</v>
      </c>
    </row>
    <row r="74" spans="1:21" ht="30">
      <c r="A74" s="114" t="s">
        <v>336</v>
      </c>
      <c r="B74" s="115" t="s">
        <v>86</v>
      </c>
      <c r="C74" s="5" t="s">
        <v>88</v>
      </c>
      <c r="D74" s="116" t="s">
        <v>14</v>
      </c>
      <c r="E74" s="112">
        <v>1</v>
      </c>
      <c r="F74" s="117">
        <v>23.51</v>
      </c>
      <c r="G74" s="124">
        <f>BDI!$B$23</f>
        <v>0.24873184530590153</v>
      </c>
      <c r="H74" s="119">
        <f t="shared" si="18"/>
        <v>29.35</v>
      </c>
      <c r="I74" s="117">
        <f t="shared" si="19"/>
        <v>29.35</v>
      </c>
      <c r="J74" s="118" t="s">
        <v>213</v>
      </c>
      <c r="K74" s="190">
        <v>0</v>
      </c>
      <c r="L74" s="189">
        <f t="shared" si="3"/>
        <v>0</v>
      </c>
      <c r="M74" s="190">
        <v>0</v>
      </c>
      <c r="N74" s="189">
        <f t="shared" si="4"/>
        <v>0</v>
      </c>
      <c r="O74" s="190">
        <v>1</v>
      </c>
      <c r="P74" s="189">
        <f t="shared" si="5"/>
        <v>29.35</v>
      </c>
      <c r="Q74" s="190">
        <v>0</v>
      </c>
      <c r="R74" s="189">
        <f t="shared" si="6"/>
        <v>0</v>
      </c>
      <c r="S74" s="216">
        <f t="shared" si="2"/>
        <v>1</v>
      </c>
      <c r="T74" s="75"/>
      <c r="U74" s="111">
        <f t="shared" si="7"/>
        <v>29.35</v>
      </c>
    </row>
    <row r="75" spans="1:21" ht="45">
      <c r="A75" s="114" t="s">
        <v>337</v>
      </c>
      <c r="B75" s="115" t="s">
        <v>94</v>
      </c>
      <c r="C75" s="5" t="s">
        <v>96</v>
      </c>
      <c r="D75" s="116" t="s">
        <v>14</v>
      </c>
      <c r="E75" s="112">
        <v>23</v>
      </c>
      <c r="F75" s="117">
        <v>93.05</v>
      </c>
      <c r="G75" s="124">
        <f>BDI!$B$23</f>
        <v>0.24873184530590153</v>
      </c>
      <c r="H75" s="119">
        <f t="shared" si="18"/>
        <v>116.19</v>
      </c>
      <c r="I75" s="117">
        <f t="shared" si="19"/>
        <v>2672.37</v>
      </c>
      <c r="J75" s="118" t="s">
        <v>214</v>
      </c>
      <c r="K75" s="190">
        <v>0</v>
      </c>
      <c r="L75" s="189">
        <f t="shared" si="3"/>
        <v>0</v>
      </c>
      <c r="M75" s="190">
        <v>0</v>
      </c>
      <c r="N75" s="189">
        <f t="shared" si="4"/>
        <v>0</v>
      </c>
      <c r="O75" s="190">
        <v>0</v>
      </c>
      <c r="P75" s="189">
        <f t="shared" si="5"/>
        <v>0</v>
      </c>
      <c r="Q75" s="190">
        <v>1</v>
      </c>
      <c r="R75" s="189">
        <f t="shared" si="6"/>
        <v>2672.37</v>
      </c>
      <c r="S75" s="216">
        <f t="shared" si="2"/>
        <v>1</v>
      </c>
      <c r="T75" s="75"/>
      <c r="U75" s="111">
        <f t="shared" si="7"/>
        <v>2672.37</v>
      </c>
    </row>
    <row r="76" spans="1:21" ht="30">
      <c r="A76" s="114" t="s">
        <v>338</v>
      </c>
      <c r="B76" s="115" t="s">
        <v>95</v>
      </c>
      <c r="C76" s="5" t="s">
        <v>97</v>
      </c>
      <c r="D76" s="116" t="s">
        <v>14</v>
      </c>
      <c r="E76" s="112">
        <v>3</v>
      </c>
      <c r="F76" s="117">
        <v>51.82</v>
      </c>
      <c r="G76" s="124">
        <f>BDI!$B$23</f>
        <v>0.24873184530590153</v>
      </c>
      <c r="H76" s="119">
        <f t="shared" si="18"/>
        <v>64.7</v>
      </c>
      <c r="I76" s="117">
        <f t="shared" si="19"/>
        <v>194.1</v>
      </c>
      <c r="J76" s="118" t="s">
        <v>215</v>
      </c>
      <c r="K76" s="190">
        <v>0</v>
      </c>
      <c r="L76" s="189">
        <f t="shared" si="3"/>
        <v>0</v>
      </c>
      <c r="M76" s="190">
        <v>0</v>
      </c>
      <c r="N76" s="189">
        <f t="shared" si="4"/>
        <v>0</v>
      </c>
      <c r="O76" s="190">
        <v>1</v>
      </c>
      <c r="P76" s="189">
        <f t="shared" si="5"/>
        <v>194.1</v>
      </c>
      <c r="Q76" s="190">
        <v>0</v>
      </c>
      <c r="R76" s="189">
        <f t="shared" si="6"/>
        <v>0</v>
      </c>
      <c r="S76" s="216">
        <f t="shared" si="2"/>
        <v>1</v>
      </c>
      <c r="T76" s="75"/>
      <c r="U76" s="111">
        <f t="shared" si="7"/>
        <v>194.1</v>
      </c>
    </row>
    <row r="77" spans="1:21" ht="30">
      <c r="A77" s="114" t="s">
        <v>339</v>
      </c>
      <c r="B77" s="115" t="s">
        <v>98</v>
      </c>
      <c r="C77" s="5" t="s">
        <v>100</v>
      </c>
      <c r="D77" s="116" t="s">
        <v>14</v>
      </c>
      <c r="E77" s="112">
        <v>10</v>
      </c>
      <c r="F77" s="117">
        <v>14.21</v>
      </c>
      <c r="G77" s="124">
        <f>BDI!$B$23</f>
        <v>0.24873184530590153</v>
      </c>
      <c r="H77" s="119">
        <f t="shared" si="18"/>
        <v>17.739999999999998</v>
      </c>
      <c r="I77" s="117">
        <f t="shared" si="19"/>
        <v>177.4</v>
      </c>
      <c r="J77" s="118" t="s">
        <v>216</v>
      </c>
      <c r="K77" s="190">
        <v>0</v>
      </c>
      <c r="L77" s="189">
        <f t="shared" si="3"/>
        <v>0</v>
      </c>
      <c r="M77" s="190">
        <v>0</v>
      </c>
      <c r="N77" s="189">
        <f t="shared" si="4"/>
        <v>0</v>
      </c>
      <c r="O77" s="190">
        <v>1</v>
      </c>
      <c r="P77" s="189">
        <f t="shared" si="5"/>
        <v>177.4</v>
      </c>
      <c r="Q77" s="190">
        <v>0</v>
      </c>
      <c r="R77" s="189">
        <f t="shared" si="6"/>
        <v>0</v>
      </c>
      <c r="S77" s="216">
        <f t="shared" ref="S77:S135" si="20">SUM(K77+M77+O77+Q77)</f>
        <v>1</v>
      </c>
      <c r="T77" s="75"/>
      <c r="U77" s="111">
        <f t="shared" si="7"/>
        <v>177.4</v>
      </c>
    </row>
    <row r="78" spans="1:21" ht="30">
      <c r="A78" s="114" t="s">
        <v>340</v>
      </c>
      <c r="B78" s="115" t="s">
        <v>99</v>
      </c>
      <c r="C78" s="5" t="s">
        <v>101</v>
      </c>
      <c r="D78" s="116" t="s">
        <v>14</v>
      </c>
      <c r="E78" s="112">
        <v>2</v>
      </c>
      <c r="F78" s="117">
        <f>12.98+3.53</f>
        <v>16.510000000000002</v>
      </c>
      <c r="G78" s="124">
        <f>BDI!$B$23</f>
        <v>0.24873184530590153</v>
      </c>
      <c r="H78" s="119">
        <f t="shared" si="18"/>
        <v>20.61</v>
      </c>
      <c r="I78" s="117">
        <f t="shared" si="19"/>
        <v>41.22</v>
      </c>
      <c r="J78" s="118" t="s">
        <v>217</v>
      </c>
      <c r="K78" s="190">
        <v>0</v>
      </c>
      <c r="L78" s="189">
        <f t="shared" ref="L78:L135" si="21">TRUNC(K78*$I78,2)</f>
        <v>0</v>
      </c>
      <c r="M78" s="190">
        <v>0</v>
      </c>
      <c r="N78" s="189">
        <f t="shared" ref="N78:N135" si="22">TRUNC(M78*$I78,2)</f>
        <v>0</v>
      </c>
      <c r="O78" s="190">
        <v>1</v>
      </c>
      <c r="P78" s="189">
        <f t="shared" ref="P78:P135" si="23">TRUNC(O78*$I78,2)</f>
        <v>41.22</v>
      </c>
      <c r="Q78" s="190">
        <v>0</v>
      </c>
      <c r="R78" s="189">
        <f t="shared" ref="R78:R135" si="24">TRUNC(Q78*$I78,2)</f>
        <v>0</v>
      </c>
      <c r="S78" s="216">
        <f t="shared" si="20"/>
        <v>1</v>
      </c>
      <c r="T78" s="75"/>
      <c r="U78" s="111">
        <f t="shared" si="7"/>
        <v>41.22</v>
      </c>
    </row>
    <row r="79" spans="1:21" ht="60">
      <c r="A79" s="114" t="s">
        <v>341</v>
      </c>
      <c r="B79" s="115" t="s">
        <v>75</v>
      </c>
      <c r="C79" s="5" t="s">
        <v>102</v>
      </c>
      <c r="D79" s="116" t="s">
        <v>14</v>
      </c>
      <c r="E79" s="112">
        <v>15</v>
      </c>
      <c r="F79" s="25">
        <v>0</v>
      </c>
      <c r="G79" s="25">
        <v>0</v>
      </c>
      <c r="H79" s="117">
        <v>120</v>
      </c>
      <c r="I79" s="117">
        <f t="shared" si="17"/>
        <v>1800</v>
      </c>
      <c r="J79" s="118" t="s">
        <v>126</v>
      </c>
      <c r="K79" s="190">
        <v>0</v>
      </c>
      <c r="L79" s="189">
        <f t="shared" si="21"/>
        <v>0</v>
      </c>
      <c r="M79" s="190">
        <v>0</v>
      </c>
      <c r="N79" s="189">
        <f t="shared" si="22"/>
        <v>0</v>
      </c>
      <c r="O79" s="190">
        <v>1</v>
      </c>
      <c r="P79" s="189">
        <f t="shared" si="23"/>
        <v>1800</v>
      </c>
      <c r="Q79" s="190">
        <v>0</v>
      </c>
      <c r="R79" s="189">
        <f t="shared" si="24"/>
        <v>0</v>
      </c>
      <c r="S79" s="216">
        <f t="shared" si="20"/>
        <v>1</v>
      </c>
      <c r="T79" s="75"/>
      <c r="U79" s="111">
        <f t="shared" ref="U79:U86" si="25">SUM(L79+N79+P79+R79)</f>
        <v>1800</v>
      </c>
    </row>
    <row r="80" spans="1:21" ht="30">
      <c r="A80" s="114" t="s">
        <v>459</v>
      </c>
      <c r="B80" s="115" t="s">
        <v>76</v>
      </c>
      <c r="C80" s="116" t="s">
        <v>103</v>
      </c>
      <c r="D80" s="116" t="s">
        <v>23</v>
      </c>
      <c r="E80" s="112">
        <v>59.83</v>
      </c>
      <c r="F80" s="117">
        <v>10.26</v>
      </c>
      <c r="G80" s="124">
        <f>BDI!$B$23</f>
        <v>0.24873184530590153</v>
      </c>
      <c r="H80" s="119">
        <f t="shared" ref="H80:H85" si="26">TRUNC(F80*(1+G80),2)</f>
        <v>12.81</v>
      </c>
      <c r="I80" s="117">
        <f t="shared" ref="I80:I85" si="27">TRUNC(E80*H80,2)</f>
        <v>766.42</v>
      </c>
      <c r="J80" s="118" t="s">
        <v>218</v>
      </c>
      <c r="K80" s="190">
        <v>0</v>
      </c>
      <c r="L80" s="189">
        <f t="shared" si="21"/>
        <v>0</v>
      </c>
      <c r="M80" s="190">
        <v>0</v>
      </c>
      <c r="N80" s="189">
        <f t="shared" si="22"/>
        <v>0</v>
      </c>
      <c r="O80" s="190">
        <v>1</v>
      </c>
      <c r="P80" s="189">
        <f t="shared" si="23"/>
        <v>766.42</v>
      </c>
      <c r="Q80" s="190">
        <v>0</v>
      </c>
      <c r="R80" s="189">
        <f t="shared" si="24"/>
        <v>0</v>
      </c>
      <c r="S80" s="216">
        <f t="shared" si="20"/>
        <v>1</v>
      </c>
      <c r="T80" s="75"/>
      <c r="U80" s="111">
        <f t="shared" si="25"/>
        <v>766.42</v>
      </c>
    </row>
    <row r="81" spans="1:21" ht="30">
      <c r="A81" s="114" t="s">
        <v>460</v>
      </c>
      <c r="B81" s="115" t="s">
        <v>76</v>
      </c>
      <c r="C81" s="116" t="s">
        <v>104</v>
      </c>
      <c r="D81" s="116" t="s">
        <v>23</v>
      </c>
      <c r="E81" s="112">
        <v>33.96</v>
      </c>
      <c r="F81" s="117">
        <v>12.27</v>
      </c>
      <c r="G81" s="124">
        <f>BDI!$B$23</f>
        <v>0.24873184530590153</v>
      </c>
      <c r="H81" s="119">
        <f t="shared" si="26"/>
        <v>15.32</v>
      </c>
      <c r="I81" s="117">
        <f t="shared" si="27"/>
        <v>520.26</v>
      </c>
      <c r="J81" s="118" t="s">
        <v>219</v>
      </c>
      <c r="K81" s="190">
        <v>0</v>
      </c>
      <c r="L81" s="189">
        <f t="shared" si="21"/>
        <v>0</v>
      </c>
      <c r="M81" s="190">
        <v>0</v>
      </c>
      <c r="N81" s="189">
        <f t="shared" si="22"/>
        <v>0</v>
      </c>
      <c r="O81" s="190">
        <v>1</v>
      </c>
      <c r="P81" s="189">
        <f t="shared" si="23"/>
        <v>520.26</v>
      </c>
      <c r="Q81" s="190">
        <v>0</v>
      </c>
      <c r="R81" s="189">
        <f t="shared" si="24"/>
        <v>0</v>
      </c>
      <c r="S81" s="216">
        <f t="shared" si="20"/>
        <v>1</v>
      </c>
      <c r="T81" s="75"/>
      <c r="U81" s="111"/>
    </row>
    <row r="82" spans="1:21" ht="30">
      <c r="A82" s="114" t="s">
        <v>461</v>
      </c>
      <c r="B82" s="115" t="s">
        <v>76</v>
      </c>
      <c r="C82" s="116" t="s">
        <v>105</v>
      </c>
      <c r="D82" s="116" t="s">
        <v>23</v>
      </c>
      <c r="E82" s="112">
        <v>65.34</v>
      </c>
      <c r="F82" s="117">
        <v>18.34</v>
      </c>
      <c r="G82" s="124">
        <f>BDI!$B$23</f>
        <v>0.24873184530590153</v>
      </c>
      <c r="H82" s="119">
        <f t="shared" si="26"/>
        <v>22.9</v>
      </c>
      <c r="I82" s="117">
        <f t="shared" si="27"/>
        <v>1496.28</v>
      </c>
      <c r="J82" s="118" t="s">
        <v>220</v>
      </c>
      <c r="K82" s="190">
        <v>0.7</v>
      </c>
      <c r="L82" s="189">
        <f t="shared" si="21"/>
        <v>1047.3900000000001</v>
      </c>
      <c r="M82" s="190">
        <v>0</v>
      </c>
      <c r="N82" s="189">
        <f t="shared" si="22"/>
        <v>0</v>
      </c>
      <c r="O82" s="190">
        <v>0.3</v>
      </c>
      <c r="P82" s="189">
        <f t="shared" si="23"/>
        <v>448.88</v>
      </c>
      <c r="Q82" s="190">
        <v>0</v>
      </c>
      <c r="R82" s="189">
        <f t="shared" si="24"/>
        <v>0</v>
      </c>
      <c r="S82" s="216">
        <f t="shared" si="20"/>
        <v>1</v>
      </c>
      <c r="T82" s="217"/>
      <c r="U82" s="111"/>
    </row>
    <row r="83" spans="1:21" ht="30">
      <c r="A83" s="114" t="s">
        <v>462</v>
      </c>
      <c r="B83" s="115" t="s">
        <v>76</v>
      </c>
      <c r="C83" s="116" t="s">
        <v>106</v>
      </c>
      <c r="D83" s="116" t="s">
        <v>23</v>
      </c>
      <c r="E83" s="112">
        <v>9.98</v>
      </c>
      <c r="F83" s="117">
        <v>21.9</v>
      </c>
      <c r="G83" s="124">
        <f>BDI!$B$23</f>
        <v>0.24873184530590153</v>
      </c>
      <c r="H83" s="119">
        <f t="shared" si="26"/>
        <v>27.34</v>
      </c>
      <c r="I83" s="117">
        <f t="shared" si="27"/>
        <v>272.85000000000002</v>
      </c>
      <c r="J83" s="118" t="s">
        <v>221</v>
      </c>
      <c r="K83" s="190">
        <v>0</v>
      </c>
      <c r="L83" s="189">
        <f t="shared" si="21"/>
        <v>0</v>
      </c>
      <c r="M83" s="190">
        <v>0</v>
      </c>
      <c r="N83" s="189">
        <f t="shared" si="22"/>
        <v>0</v>
      </c>
      <c r="O83" s="190">
        <v>1</v>
      </c>
      <c r="P83" s="189">
        <f t="shared" si="23"/>
        <v>272.85000000000002</v>
      </c>
      <c r="Q83" s="190">
        <v>0</v>
      </c>
      <c r="R83" s="189">
        <f t="shared" si="24"/>
        <v>0</v>
      </c>
      <c r="S83" s="216">
        <f t="shared" si="20"/>
        <v>1</v>
      </c>
      <c r="T83" s="75"/>
      <c r="U83" s="111"/>
    </row>
    <row r="84" spans="1:21" ht="45">
      <c r="A84" s="114" t="s">
        <v>463</v>
      </c>
      <c r="B84" s="120" t="s">
        <v>112</v>
      </c>
      <c r="C84" s="5" t="s">
        <v>113</v>
      </c>
      <c r="D84" s="116" t="s">
        <v>23</v>
      </c>
      <c r="E84" s="115">
        <f>SUM(E80:E83)</f>
        <v>169.10999999999999</v>
      </c>
      <c r="F84" s="117">
        <v>1.63</v>
      </c>
      <c r="G84" s="124">
        <f>BDI!$B$23</f>
        <v>0.24873184530590153</v>
      </c>
      <c r="H84" s="119">
        <f t="shared" si="26"/>
        <v>2.0299999999999998</v>
      </c>
      <c r="I84" s="117">
        <f t="shared" si="27"/>
        <v>343.29</v>
      </c>
      <c r="J84" s="118" t="s">
        <v>222</v>
      </c>
      <c r="K84" s="190">
        <v>0.25</v>
      </c>
      <c r="L84" s="189">
        <f t="shared" si="21"/>
        <v>85.82</v>
      </c>
      <c r="M84" s="190">
        <v>0</v>
      </c>
      <c r="N84" s="189">
        <f t="shared" si="22"/>
        <v>0</v>
      </c>
      <c r="O84" s="190">
        <v>0.75</v>
      </c>
      <c r="P84" s="189">
        <f t="shared" si="23"/>
        <v>257.45999999999998</v>
      </c>
      <c r="Q84" s="190">
        <v>0</v>
      </c>
      <c r="R84" s="189">
        <f t="shared" si="24"/>
        <v>0</v>
      </c>
      <c r="S84" s="216">
        <f t="shared" si="20"/>
        <v>1</v>
      </c>
      <c r="T84" s="75"/>
      <c r="U84" s="111"/>
    </row>
    <row r="85" spans="1:21">
      <c r="A85" s="114" t="s">
        <v>472</v>
      </c>
      <c r="B85" s="113" t="s">
        <v>450</v>
      </c>
      <c r="C85" s="16" t="s">
        <v>451</v>
      </c>
      <c r="D85" s="116" t="s">
        <v>14</v>
      </c>
      <c r="E85" s="123">
        <v>3</v>
      </c>
      <c r="F85" s="20">
        <v>55.31</v>
      </c>
      <c r="G85" s="124">
        <f>BDI!$B$23</f>
        <v>0.24873184530590153</v>
      </c>
      <c r="H85" s="119">
        <f t="shared" si="26"/>
        <v>69.06</v>
      </c>
      <c r="I85" s="117">
        <f t="shared" si="27"/>
        <v>207.18</v>
      </c>
      <c r="J85" s="21" t="s">
        <v>452</v>
      </c>
      <c r="K85" s="190">
        <v>1</v>
      </c>
      <c r="L85" s="189">
        <f t="shared" si="21"/>
        <v>207.18</v>
      </c>
      <c r="M85" s="190">
        <v>0</v>
      </c>
      <c r="N85" s="189">
        <f t="shared" si="22"/>
        <v>0</v>
      </c>
      <c r="O85" s="190">
        <v>0</v>
      </c>
      <c r="P85" s="189">
        <f t="shared" si="23"/>
        <v>0</v>
      </c>
      <c r="Q85" s="190">
        <v>0</v>
      </c>
      <c r="R85" s="189">
        <f t="shared" si="24"/>
        <v>0</v>
      </c>
      <c r="S85" s="216">
        <f t="shared" si="20"/>
        <v>1</v>
      </c>
      <c r="T85" s="75"/>
      <c r="U85" s="111">
        <f t="shared" si="25"/>
        <v>207.18</v>
      </c>
    </row>
    <row r="86" spans="1:21">
      <c r="A86" s="122"/>
      <c r="B86" s="18"/>
      <c r="C86" s="16"/>
      <c r="D86" s="17"/>
      <c r="E86" s="18"/>
      <c r="F86" s="20"/>
      <c r="G86" s="20"/>
      <c r="H86" s="20"/>
      <c r="I86" s="18"/>
      <c r="J86" s="19"/>
      <c r="K86" s="190"/>
      <c r="L86" s="190"/>
      <c r="M86" s="190"/>
      <c r="N86" s="190"/>
      <c r="O86" s="190"/>
      <c r="P86" s="190"/>
      <c r="Q86" s="190"/>
      <c r="R86" s="190"/>
      <c r="S86" s="216">
        <f t="shared" si="20"/>
        <v>0</v>
      </c>
      <c r="T86" s="75"/>
      <c r="U86" s="111">
        <f t="shared" si="25"/>
        <v>0</v>
      </c>
    </row>
    <row r="87" spans="1:21">
      <c r="A87" s="31">
        <v>9</v>
      </c>
      <c r="B87" s="32" t="s">
        <v>15</v>
      </c>
      <c r="C87" s="33"/>
      <c r="D87" s="34"/>
      <c r="E87" s="35"/>
      <c r="F87" s="39"/>
      <c r="G87" s="39"/>
      <c r="H87" s="40"/>
      <c r="I87" s="37">
        <f>I88+I98</f>
        <v>2931.42</v>
      </c>
      <c r="J87" s="38"/>
      <c r="K87" s="35"/>
      <c r="L87" s="35"/>
      <c r="M87" s="35"/>
      <c r="N87" s="35"/>
      <c r="O87" s="35"/>
      <c r="P87" s="35"/>
      <c r="Q87" s="35"/>
      <c r="R87" s="35"/>
      <c r="S87" s="216">
        <f t="shared" si="20"/>
        <v>0</v>
      </c>
      <c r="T87" s="217">
        <f>I87/I$138</f>
        <v>1.21608675734385E-2</v>
      </c>
      <c r="U87" s="111"/>
    </row>
    <row r="88" spans="1:21">
      <c r="A88" s="114"/>
      <c r="B88" s="9" t="s">
        <v>17</v>
      </c>
      <c r="C88" s="23"/>
      <c r="D88" s="17"/>
      <c r="E88" s="18"/>
      <c r="F88" s="20"/>
      <c r="G88" s="20"/>
      <c r="H88" s="24"/>
      <c r="I88" s="8">
        <f>SUM(I90:I96)</f>
        <v>770.59</v>
      </c>
      <c r="J88" s="7"/>
      <c r="K88" s="190"/>
      <c r="L88" s="190"/>
      <c r="M88" s="190"/>
      <c r="N88" s="190"/>
      <c r="O88" s="190"/>
      <c r="P88" s="190"/>
      <c r="Q88" s="190"/>
      <c r="R88" s="190"/>
      <c r="S88" s="216">
        <f t="shared" si="20"/>
        <v>0</v>
      </c>
      <c r="T88" s="75"/>
      <c r="U88" s="111">
        <f>SUM(L93+N93+P93+R93)</f>
        <v>39.619999999999997</v>
      </c>
    </row>
    <row r="89" spans="1:21">
      <c r="A89" s="114"/>
      <c r="B89" s="10" t="s">
        <v>22</v>
      </c>
      <c r="C89" s="23"/>
      <c r="D89" s="17"/>
      <c r="E89" s="18"/>
      <c r="F89" s="20"/>
      <c r="G89" s="20"/>
      <c r="H89" s="20"/>
      <c r="I89" s="20"/>
      <c r="J89" s="19"/>
      <c r="K89" s="190"/>
      <c r="L89" s="190"/>
      <c r="M89" s="190"/>
      <c r="N89" s="190"/>
      <c r="O89" s="190"/>
      <c r="P89" s="190"/>
      <c r="Q89" s="190"/>
      <c r="R89" s="190"/>
      <c r="S89" s="216">
        <f t="shared" si="20"/>
        <v>0</v>
      </c>
      <c r="T89" s="75"/>
      <c r="U89" s="111">
        <f>SUM(L94+N94+P94+R94)</f>
        <v>13.36</v>
      </c>
    </row>
    <row r="90" spans="1:21" ht="30">
      <c r="A90" s="114" t="s">
        <v>176</v>
      </c>
      <c r="B90" s="115" t="s">
        <v>1</v>
      </c>
      <c r="C90" s="5" t="s">
        <v>30</v>
      </c>
      <c r="D90" s="116" t="s">
        <v>23</v>
      </c>
      <c r="E90" s="112">
        <v>6.25</v>
      </c>
      <c r="F90" s="117">
        <v>11.18</v>
      </c>
      <c r="G90" s="124">
        <f>BDI!$B$23</f>
        <v>0.24873184530590153</v>
      </c>
      <c r="H90" s="119">
        <f t="shared" ref="H90:H91" si="28">TRUNC(F90*(1+G90),2)</f>
        <v>13.96</v>
      </c>
      <c r="I90" s="117">
        <f t="shared" ref="I90:I91" si="29">TRUNC(E90*H90,2)</f>
        <v>87.25</v>
      </c>
      <c r="J90" s="118" t="s">
        <v>223</v>
      </c>
      <c r="K90" s="190">
        <v>0</v>
      </c>
      <c r="L90" s="189">
        <f t="shared" si="21"/>
        <v>0</v>
      </c>
      <c r="M90" s="190">
        <v>1</v>
      </c>
      <c r="N90" s="189">
        <f t="shared" si="22"/>
        <v>87.25</v>
      </c>
      <c r="O90" s="190">
        <v>0</v>
      </c>
      <c r="P90" s="189">
        <f t="shared" si="23"/>
        <v>0</v>
      </c>
      <c r="Q90" s="190">
        <v>0</v>
      </c>
      <c r="R90" s="189">
        <f t="shared" si="24"/>
        <v>0</v>
      </c>
      <c r="S90" s="216">
        <f t="shared" si="20"/>
        <v>1</v>
      </c>
      <c r="T90" s="75"/>
      <c r="U90" s="111">
        <f>SUM(L95+N95+P95+R95)</f>
        <v>7.89</v>
      </c>
    </row>
    <row r="91" spans="1:21" ht="30">
      <c r="A91" s="114" t="s">
        <v>178</v>
      </c>
      <c r="B91" s="115" t="s">
        <v>1</v>
      </c>
      <c r="C91" s="5" t="s">
        <v>31</v>
      </c>
      <c r="D91" s="116" t="s">
        <v>23</v>
      </c>
      <c r="E91" s="112">
        <v>36.57</v>
      </c>
      <c r="F91" s="117">
        <v>13.29</v>
      </c>
      <c r="G91" s="124">
        <f>BDI!$B$23</f>
        <v>0.24873184530590153</v>
      </c>
      <c r="H91" s="119">
        <f t="shared" si="28"/>
        <v>16.59</v>
      </c>
      <c r="I91" s="117">
        <f t="shared" si="29"/>
        <v>606.69000000000005</v>
      </c>
      <c r="J91" s="118" t="s">
        <v>224</v>
      </c>
      <c r="K91" s="190">
        <v>0</v>
      </c>
      <c r="L91" s="189">
        <f t="shared" si="21"/>
        <v>0</v>
      </c>
      <c r="M91" s="190">
        <v>1</v>
      </c>
      <c r="N91" s="189">
        <f t="shared" si="22"/>
        <v>606.69000000000005</v>
      </c>
      <c r="O91" s="190">
        <v>0</v>
      </c>
      <c r="P91" s="189">
        <f t="shared" si="23"/>
        <v>0</v>
      </c>
      <c r="Q91" s="190">
        <v>0</v>
      </c>
      <c r="R91" s="189">
        <f t="shared" si="24"/>
        <v>0</v>
      </c>
      <c r="S91" s="216">
        <f t="shared" si="20"/>
        <v>1</v>
      </c>
      <c r="T91" s="75"/>
      <c r="U91" s="111">
        <f>SUM(L96+N96+P96+R96)</f>
        <v>15.78</v>
      </c>
    </row>
    <row r="92" spans="1:21">
      <c r="A92" s="114"/>
      <c r="B92" s="10" t="s">
        <v>18</v>
      </c>
      <c r="C92" s="23"/>
      <c r="D92" s="17"/>
      <c r="E92" s="18"/>
      <c r="F92" s="20"/>
      <c r="G92" s="20"/>
      <c r="H92" s="20"/>
      <c r="I92" s="18"/>
      <c r="J92" s="19"/>
      <c r="K92" s="190"/>
      <c r="L92" s="189">
        <f t="shared" si="21"/>
        <v>0</v>
      </c>
      <c r="M92" s="190"/>
      <c r="N92" s="189">
        <f t="shared" si="22"/>
        <v>0</v>
      </c>
      <c r="O92" s="190">
        <v>0</v>
      </c>
      <c r="P92" s="189">
        <f t="shared" si="23"/>
        <v>0</v>
      </c>
      <c r="Q92" s="190">
        <v>0</v>
      </c>
      <c r="R92" s="189">
        <f t="shared" si="24"/>
        <v>0</v>
      </c>
      <c r="S92" s="216">
        <f t="shared" si="20"/>
        <v>0</v>
      </c>
      <c r="T92" s="75"/>
      <c r="U92" s="111"/>
    </row>
    <row r="93" spans="1:21" ht="30">
      <c r="A93" s="114" t="s">
        <v>179</v>
      </c>
      <c r="B93" s="115" t="s">
        <v>59</v>
      </c>
      <c r="C93" s="5" t="s">
        <v>60</v>
      </c>
      <c r="D93" s="116" t="s">
        <v>14</v>
      </c>
      <c r="E93" s="112">
        <v>7</v>
      </c>
      <c r="F93" s="117">
        <v>4.54</v>
      </c>
      <c r="G93" s="124">
        <f>BDI!$B$23</f>
        <v>0.24873184530590153</v>
      </c>
      <c r="H93" s="119">
        <f t="shared" ref="H93:H96" si="30">TRUNC(F93*(1+G93),2)</f>
        <v>5.66</v>
      </c>
      <c r="I93" s="117">
        <f t="shared" ref="I93:I96" si="31">TRUNC(E93*H93,2)</f>
        <v>39.619999999999997</v>
      </c>
      <c r="J93" s="118" t="s">
        <v>225</v>
      </c>
      <c r="K93" s="190">
        <v>0</v>
      </c>
      <c r="L93" s="189">
        <f t="shared" si="21"/>
        <v>0</v>
      </c>
      <c r="M93" s="190">
        <v>1</v>
      </c>
      <c r="N93" s="189">
        <f t="shared" si="22"/>
        <v>39.619999999999997</v>
      </c>
      <c r="O93" s="190">
        <v>0</v>
      </c>
      <c r="P93" s="189">
        <f t="shared" si="23"/>
        <v>0</v>
      </c>
      <c r="Q93" s="190">
        <v>0</v>
      </c>
      <c r="R93" s="189">
        <f t="shared" si="24"/>
        <v>0</v>
      </c>
      <c r="S93" s="216">
        <f t="shared" si="20"/>
        <v>1</v>
      </c>
      <c r="T93" s="75"/>
      <c r="U93" s="111"/>
    </row>
    <row r="94" spans="1:21" ht="30">
      <c r="A94" s="114" t="s">
        <v>180</v>
      </c>
      <c r="B94" s="115" t="s">
        <v>57</v>
      </c>
      <c r="C94" s="5" t="s">
        <v>58</v>
      </c>
      <c r="D94" s="116" t="s">
        <v>14</v>
      </c>
      <c r="E94" s="112">
        <v>2</v>
      </c>
      <c r="F94" s="117">
        <v>5.35</v>
      </c>
      <c r="G94" s="124">
        <f>BDI!$B$23</f>
        <v>0.24873184530590153</v>
      </c>
      <c r="H94" s="119">
        <f t="shared" si="30"/>
        <v>6.68</v>
      </c>
      <c r="I94" s="117">
        <f t="shared" si="31"/>
        <v>13.36</v>
      </c>
      <c r="J94" s="118" t="s">
        <v>226</v>
      </c>
      <c r="K94" s="190">
        <v>0</v>
      </c>
      <c r="L94" s="189">
        <f t="shared" si="21"/>
        <v>0</v>
      </c>
      <c r="M94" s="190">
        <v>1</v>
      </c>
      <c r="N94" s="189">
        <f t="shared" si="22"/>
        <v>13.36</v>
      </c>
      <c r="O94" s="190">
        <v>0</v>
      </c>
      <c r="P94" s="189">
        <f t="shared" si="23"/>
        <v>0</v>
      </c>
      <c r="Q94" s="190">
        <v>0</v>
      </c>
      <c r="R94" s="189">
        <f t="shared" si="24"/>
        <v>0</v>
      </c>
      <c r="S94" s="216">
        <f t="shared" si="20"/>
        <v>1</v>
      </c>
      <c r="T94" s="75"/>
      <c r="U94" s="111"/>
    </row>
    <row r="95" spans="1:21" ht="30">
      <c r="A95" s="114" t="s">
        <v>342</v>
      </c>
      <c r="B95" s="115" t="s">
        <v>55</v>
      </c>
      <c r="C95" s="5" t="s">
        <v>56</v>
      </c>
      <c r="D95" s="116" t="s">
        <v>14</v>
      </c>
      <c r="E95" s="112">
        <v>1</v>
      </c>
      <c r="F95" s="117">
        <v>6.32</v>
      </c>
      <c r="G95" s="124">
        <f>BDI!$B$23</f>
        <v>0.24873184530590153</v>
      </c>
      <c r="H95" s="119">
        <f t="shared" si="30"/>
        <v>7.89</v>
      </c>
      <c r="I95" s="117">
        <f t="shared" si="31"/>
        <v>7.89</v>
      </c>
      <c r="J95" s="118" t="s">
        <v>227</v>
      </c>
      <c r="K95" s="190">
        <v>0</v>
      </c>
      <c r="L95" s="189">
        <f t="shared" si="21"/>
        <v>0</v>
      </c>
      <c r="M95" s="190">
        <v>1</v>
      </c>
      <c r="N95" s="189">
        <f t="shared" si="22"/>
        <v>7.89</v>
      </c>
      <c r="O95" s="190">
        <v>0</v>
      </c>
      <c r="P95" s="189">
        <f t="shared" si="23"/>
        <v>0</v>
      </c>
      <c r="Q95" s="190">
        <v>0</v>
      </c>
      <c r="R95" s="189">
        <f t="shared" si="24"/>
        <v>0</v>
      </c>
      <c r="S95" s="216">
        <f t="shared" si="20"/>
        <v>1</v>
      </c>
      <c r="T95" s="75"/>
      <c r="U95" s="111">
        <f>SUM(L100+N100+P100+R100)</f>
        <v>204.82</v>
      </c>
    </row>
    <row r="96" spans="1:21" ht="30">
      <c r="A96" s="114" t="s">
        <v>343</v>
      </c>
      <c r="B96" s="115" t="s">
        <v>61</v>
      </c>
      <c r="C96" s="5" t="s">
        <v>62</v>
      </c>
      <c r="D96" s="116" t="s">
        <v>14</v>
      </c>
      <c r="E96" s="112">
        <v>2</v>
      </c>
      <c r="F96" s="117">
        <v>6.32</v>
      </c>
      <c r="G96" s="124">
        <f>BDI!$B$23</f>
        <v>0.24873184530590153</v>
      </c>
      <c r="H96" s="119">
        <f t="shared" si="30"/>
        <v>7.89</v>
      </c>
      <c r="I96" s="117">
        <f t="shared" si="31"/>
        <v>15.78</v>
      </c>
      <c r="J96" s="118" t="s">
        <v>228</v>
      </c>
      <c r="K96" s="190">
        <v>0</v>
      </c>
      <c r="L96" s="189">
        <f t="shared" si="21"/>
        <v>0</v>
      </c>
      <c r="M96" s="190">
        <v>1</v>
      </c>
      <c r="N96" s="189">
        <f t="shared" si="22"/>
        <v>15.78</v>
      </c>
      <c r="O96" s="190"/>
      <c r="P96" s="189">
        <f t="shared" si="23"/>
        <v>0</v>
      </c>
      <c r="Q96" s="190">
        <v>0</v>
      </c>
      <c r="R96" s="189">
        <f t="shared" si="24"/>
        <v>0</v>
      </c>
      <c r="S96" s="216">
        <f t="shared" si="20"/>
        <v>1</v>
      </c>
      <c r="T96" s="75"/>
      <c r="U96" s="111">
        <f>SUM(L101+N101+P101+R101)</f>
        <v>78.709999999999994</v>
      </c>
    </row>
    <row r="97" spans="1:21">
      <c r="A97" s="122"/>
      <c r="B97" s="123"/>
      <c r="C97" s="16"/>
      <c r="D97" s="17"/>
      <c r="E97" s="18"/>
      <c r="F97" s="20"/>
      <c r="G97" s="20"/>
      <c r="H97" s="20"/>
      <c r="I97" s="20"/>
      <c r="J97" s="19"/>
      <c r="K97" s="190"/>
      <c r="L97" s="190"/>
      <c r="M97" s="190"/>
      <c r="N97" s="190"/>
      <c r="O97" s="190"/>
      <c r="P97" s="190"/>
      <c r="Q97" s="190"/>
      <c r="R97" s="190"/>
      <c r="S97" s="216">
        <f t="shared" si="20"/>
        <v>0</v>
      </c>
      <c r="T97" s="75"/>
      <c r="U97" s="111">
        <f>SUM(L102+N102+P102+R102)</f>
        <v>1450.12</v>
      </c>
    </row>
    <row r="98" spans="1:21">
      <c r="A98" s="114"/>
      <c r="B98" s="9" t="s">
        <v>16</v>
      </c>
      <c r="C98" s="23"/>
      <c r="D98" s="17"/>
      <c r="E98" s="18"/>
      <c r="F98" s="20"/>
      <c r="G98" s="20"/>
      <c r="H98" s="24"/>
      <c r="I98" s="8">
        <f>SUM(I100:I111)</f>
        <v>2160.83</v>
      </c>
      <c r="J98" s="7"/>
      <c r="K98" s="190"/>
      <c r="L98" s="190"/>
      <c r="M98" s="190"/>
      <c r="N98" s="190"/>
      <c r="O98" s="190"/>
      <c r="P98" s="190"/>
      <c r="Q98" s="190"/>
      <c r="R98" s="190"/>
      <c r="S98" s="216">
        <f t="shared" si="20"/>
        <v>0</v>
      </c>
      <c r="T98" s="75"/>
      <c r="U98" s="111"/>
    </row>
    <row r="99" spans="1:21">
      <c r="A99" s="114"/>
      <c r="B99" s="10" t="s">
        <v>22</v>
      </c>
      <c r="C99" s="23"/>
      <c r="D99" s="17"/>
      <c r="E99" s="18"/>
      <c r="F99" s="20"/>
      <c r="G99" s="20"/>
      <c r="H99" s="20"/>
      <c r="I99" s="18"/>
      <c r="J99" s="19"/>
      <c r="K99" s="190"/>
      <c r="L99" s="190"/>
      <c r="M99" s="190"/>
      <c r="N99" s="190"/>
      <c r="O99" s="190"/>
      <c r="P99" s="190"/>
      <c r="Q99" s="190"/>
      <c r="R99" s="190"/>
      <c r="S99" s="216">
        <f t="shared" si="20"/>
        <v>0</v>
      </c>
      <c r="T99" s="75"/>
      <c r="U99" s="111">
        <f t="shared" ref="U99:U106" si="32">SUM(L104+N104+P104+R104)</f>
        <v>20.56</v>
      </c>
    </row>
    <row r="100" spans="1:21" ht="30">
      <c r="A100" s="114" t="s">
        <v>344</v>
      </c>
      <c r="B100" s="115" t="s">
        <v>2</v>
      </c>
      <c r="C100" s="5" t="s">
        <v>32</v>
      </c>
      <c r="D100" s="116" t="s">
        <v>23</v>
      </c>
      <c r="E100" s="112">
        <v>13.3</v>
      </c>
      <c r="F100" s="117">
        <v>12.34</v>
      </c>
      <c r="G100" s="124">
        <f>BDI!$B$23</f>
        <v>0.24873184530590153</v>
      </c>
      <c r="H100" s="119">
        <f t="shared" ref="H100:H102" si="33">TRUNC(F100*(1+G100),2)</f>
        <v>15.4</v>
      </c>
      <c r="I100" s="117">
        <f t="shared" ref="I100:I102" si="34">TRUNC(E100*H100,2)</f>
        <v>204.82</v>
      </c>
      <c r="J100" s="118" t="s">
        <v>229</v>
      </c>
      <c r="K100" s="190">
        <v>0</v>
      </c>
      <c r="L100" s="189">
        <f t="shared" si="21"/>
        <v>0</v>
      </c>
      <c r="M100" s="190">
        <v>1</v>
      </c>
      <c r="N100" s="189">
        <f t="shared" si="22"/>
        <v>204.82</v>
      </c>
      <c r="O100" s="190">
        <v>0</v>
      </c>
      <c r="P100" s="189">
        <f t="shared" si="23"/>
        <v>0</v>
      </c>
      <c r="Q100" s="190">
        <v>0</v>
      </c>
      <c r="R100" s="189">
        <f t="shared" si="24"/>
        <v>0</v>
      </c>
      <c r="S100" s="216">
        <f t="shared" si="20"/>
        <v>1</v>
      </c>
      <c r="T100" s="75"/>
      <c r="U100" s="111">
        <f t="shared" si="32"/>
        <v>20.56</v>
      </c>
    </row>
    <row r="101" spans="1:21" ht="30">
      <c r="A101" s="114" t="s">
        <v>345</v>
      </c>
      <c r="B101" s="115" t="s">
        <v>2</v>
      </c>
      <c r="C101" s="5" t="s">
        <v>33</v>
      </c>
      <c r="D101" s="116" t="s">
        <v>23</v>
      </c>
      <c r="E101" s="112">
        <v>3.43</v>
      </c>
      <c r="F101" s="117">
        <v>18.38</v>
      </c>
      <c r="G101" s="124">
        <f>BDI!$B$23</f>
        <v>0.24873184530590153</v>
      </c>
      <c r="H101" s="119">
        <f t="shared" si="33"/>
        <v>22.95</v>
      </c>
      <c r="I101" s="117">
        <f t="shared" si="34"/>
        <v>78.709999999999994</v>
      </c>
      <c r="J101" s="118" t="s">
        <v>230</v>
      </c>
      <c r="K101" s="190">
        <v>0</v>
      </c>
      <c r="L101" s="189">
        <f t="shared" si="21"/>
        <v>0</v>
      </c>
      <c r="M101" s="190">
        <v>1</v>
      </c>
      <c r="N101" s="189">
        <f t="shared" si="22"/>
        <v>78.709999999999994</v>
      </c>
      <c r="O101" s="190">
        <v>0</v>
      </c>
      <c r="P101" s="189">
        <f t="shared" si="23"/>
        <v>0</v>
      </c>
      <c r="Q101" s="190">
        <v>0</v>
      </c>
      <c r="R101" s="189">
        <f t="shared" si="24"/>
        <v>0</v>
      </c>
      <c r="S101" s="216">
        <f t="shared" si="20"/>
        <v>1</v>
      </c>
      <c r="T101" s="75"/>
      <c r="U101" s="111">
        <f t="shared" si="32"/>
        <v>37.06</v>
      </c>
    </row>
    <row r="102" spans="1:21" ht="30">
      <c r="A102" s="114" t="s">
        <v>346</v>
      </c>
      <c r="B102" s="115" t="s">
        <v>2</v>
      </c>
      <c r="C102" s="5" t="s">
        <v>34</v>
      </c>
      <c r="D102" s="116" t="s">
        <v>23</v>
      </c>
      <c r="E102" s="112">
        <v>33.39</v>
      </c>
      <c r="F102" s="117">
        <v>34.78</v>
      </c>
      <c r="G102" s="124">
        <f>BDI!$B$23</f>
        <v>0.24873184530590153</v>
      </c>
      <c r="H102" s="119">
        <f t="shared" si="33"/>
        <v>43.43</v>
      </c>
      <c r="I102" s="117">
        <f t="shared" si="34"/>
        <v>1450.12</v>
      </c>
      <c r="J102" s="118" t="s">
        <v>231</v>
      </c>
      <c r="K102" s="190">
        <v>0</v>
      </c>
      <c r="L102" s="189">
        <f t="shared" si="21"/>
        <v>0</v>
      </c>
      <c r="M102" s="190">
        <v>1</v>
      </c>
      <c r="N102" s="189">
        <f t="shared" si="22"/>
        <v>1450.12</v>
      </c>
      <c r="O102" s="190">
        <v>0</v>
      </c>
      <c r="P102" s="189">
        <f t="shared" si="23"/>
        <v>0</v>
      </c>
      <c r="Q102" s="190">
        <v>0</v>
      </c>
      <c r="R102" s="189">
        <f t="shared" si="24"/>
        <v>0</v>
      </c>
      <c r="S102" s="216">
        <f t="shared" si="20"/>
        <v>1</v>
      </c>
      <c r="T102" s="75"/>
      <c r="U102" s="111">
        <f t="shared" si="32"/>
        <v>31.8</v>
      </c>
    </row>
    <row r="103" spans="1:21">
      <c r="A103" s="114"/>
      <c r="B103" s="10" t="s">
        <v>18</v>
      </c>
      <c r="C103" s="23"/>
      <c r="D103" s="17"/>
      <c r="E103" s="18"/>
      <c r="F103" s="20"/>
      <c r="G103" s="20"/>
      <c r="H103" s="20"/>
      <c r="I103" s="18"/>
      <c r="J103" s="19"/>
      <c r="K103" s="190"/>
      <c r="L103" s="189">
        <f t="shared" si="21"/>
        <v>0</v>
      </c>
      <c r="M103" s="190"/>
      <c r="N103" s="189">
        <f t="shared" si="22"/>
        <v>0</v>
      </c>
      <c r="O103" s="190">
        <v>0</v>
      </c>
      <c r="P103" s="189">
        <f t="shared" si="23"/>
        <v>0</v>
      </c>
      <c r="Q103" s="190">
        <v>0</v>
      </c>
      <c r="R103" s="189">
        <f t="shared" si="24"/>
        <v>0</v>
      </c>
      <c r="S103" s="216">
        <f t="shared" si="20"/>
        <v>0</v>
      </c>
      <c r="T103" s="75"/>
      <c r="U103" s="111">
        <f t="shared" si="32"/>
        <v>26.46</v>
      </c>
    </row>
    <row r="104" spans="1:21" ht="30">
      <c r="A104" s="114" t="s">
        <v>347</v>
      </c>
      <c r="B104" s="115" t="s">
        <v>36</v>
      </c>
      <c r="C104" s="5" t="s">
        <v>37</v>
      </c>
      <c r="D104" s="116" t="s">
        <v>14</v>
      </c>
      <c r="E104" s="112">
        <v>1</v>
      </c>
      <c r="F104" s="117">
        <v>16.47</v>
      </c>
      <c r="G104" s="124">
        <f>BDI!$B$23</f>
        <v>0.24873184530590153</v>
      </c>
      <c r="H104" s="119">
        <f t="shared" ref="H104:H111" si="35">TRUNC(F104*(1+G104),2)</f>
        <v>20.56</v>
      </c>
      <c r="I104" s="117">
        <f t="shared" ref="I104:I111" si="36">TRUNC(E104*H104,2)</f>
        <v>20.56</v>
      </c>
      <c r="J104" s="118" t="s">
        <v>232</v>
      </c>
      <c r="K104" s="190">
        <v>0</v>
      </c>
      <c r="L104" s="189">
        <f t="shared" si="21"/>
        <v>0</v>
      </c>
      <c r="M104" s="190">
        <v>1</v>
      </c>
      <c r="N104" s="189">
        <f t="shared" si="22"/>
        <v>20.56</v>
      </c>
      <c r="O104" s="190">
        <v>0</v>
      </c>
      <c r="P104" s="189">
        <f t="shared" si="23"/>
        <v>0</v>
      </c>
      <c r="Q104" s="190">
        <v>0</v>
      </c>
      <c r="R104" s="189">
        <f t="shared" si="24"/>
        <v>0</v>
      </c>
      <c r="S104" s="216">
        <f t="shared" si="20"/>
        <v>1</v>
      </c>
      <c r="T104" s="75"/>
      <c r="U104" s="111">
        <f t="shared" si="32"/>
        <v>188.84</v>
      </c>
    </row>
    <row r="105" spans="1:21" ht="30">
      <c r="A105" s="114" t="s">
        <v>348</v>
      </c>
      <c r="B105" s="115" t="s">
        <v>36</v>
      </c>
      <c r="C105" s="5" t="s">
        <v>38</v>
      </c>
      <c r="D105" s="116" t="s">
        <v>14</v>
      </c>
      <c r="E105" s="112">
        <v>1</v>
      </c>
      <c r="F105" s="117">
        <v>16.47</v>
      </c>
      <c r="G105" s="124">
        <f>BDI!$B$23</f>
        <v>0.24873184530590153</v>
      </c>
      <c r="H105" s="119">
        <f t="shared" si="35"/>
        <v>20.56</v>
      </c>
      <c r="I105" s="117">
        <f t="shared" si="36"/>
        <v>20.56</v>
      </c>
      <c r="J105" s="118" t="s">
        <v>233</v>
      </c>
      <c r="K105" s="190">
        <v>0</v>
      </c>
      <c r="L105" s="189">
        <f t="shared" si="21"/>
        <v>0</v>
      </c>
      <c r="M105" s="190">
        <v>1</v>
      </c>
      <c r="N105" s="189">
        <f t="shared" si="22"/>
        <v>20.56</v>
      </c>
      <c r="O105" s="190">
        <v>0</v>
      </c>
      <c r="P105" s="189">
        <f t="shared" si="23"/>
        <v>0</v>
      </c>
      <c r="Q105" s="190">
        <v>0</v>
      </c>
      <c r="R105" s="189">
        <f t="shared" si="24"/>
        <v>0</v>
      </c>
      <c r="S105" s="216">
        <f t="shared" si="20"/>
        <v>1</v>
      </c>
      <c r="T105" s="75"/>
      <c r="U105" s="111">
        <f t="shared" si="32"/>
        <v>9.02</v>
      </c>
    </row>
    <row r="106" spans="1:21" ht="45">
      <c r="A106" s="114" t="s">
        <v>349</v>
      </c>
      <c r="B106" s="115" t="s">
        <v>39</v>
      </c>
      <c r="C106" s="5" t="s">
        <v>40</v>
      </c>
      <c r="D106" s="116" t="s">
        <v>14</v>
      </c>
      <c r="E106" s="112">
        <v>2</v>
      </c>
      <c r="F106" s="117">
        <v>14.84</v>
      </c>
      <c r="G106" s="124">
        <f>BDI!$B$23</f>
        <v>0.24873184530590153</v>
      </c>
      <c r="H106" s="119">
        <f t="shared" si="35"/>
        <v>18.53</v>
      </c>
      <c r="I106" s="117">
        <f t="shared" si="36"/>
        <v>37.06</v>
      </c>
      <c r="J106" s="118" t="s">
        <v>234</v>
      </c>
      <c r="K106" s="190">
        <v>0</v>
      </c>
      <c r="L106" s="189">
        <f t="shared" si="21"/>
        <v>0</v>
      </c>
      <c r="M106" s="190">
        <v>1</v>
      </c>
      <c r="N106" s="189">
        <f t="shared" si="22"/>
        <v>37.06</v>
      </c>
      <c r="O106" s="190">
        <v>0</v>
      </c>
      <c r="P106" s="189">
        <f t="shared" si="23"/>
        <v>0</v>
      </c>
      <c r="Q106" s="190">
        <v>0</v>
      </c>
      <c r="R106" s="189">
        <f t="shared" si="24"/>
        <v>0</v>
      </c>
      <c r="S106" s="216">
        <f t="shared" si="20"/>
        <v>1</v>
      </c>
      <c r="T106" s="75"/>
      <c r="U106" s="111">
        <f t="shared" si="32"/>
        <v>92.88</v>
      </c>
    </row>
    <row r="107" spans="1:21" ht="30">
      <c r="A107" s="114" t="s">
        <v>350</v>
      </c>
      <c r="B107" s="115" t="s">
        <v>43</v>
      </c>
      <c r="C107" s="5" t="s">
        <v>41</v>
      </c>
      <c r="D107" s="116" t="s">
        <v>14</v>
      </c>
      <c r="E107" s="112">
        <v>4</v>
      </c>
      <c r="F107" s="117">
        <v>6.37</v>
      </c>
      <c r="G107" s="124">
        <f>BDI!$B$23</f>
        <v>0.24873184530590153</v>
      </c>
      <c r="H107" s="119">
        <f t="shared" si="35"/>
        <v>7.95</v>
      </c>
      <c r="I107" s="117">
        <f t="shared" si="36"/>
        <v>31.8</v>
      </c>
      <c r="J107" s="118" t="s">
        <v>235</v>
      </c>
      <c r="K107" s="190">
        <v>0</v>
      </c>
      <c r="L107" s="189">
        <f t="shared" si="21"/>
        <v>0</v>
      </c>
      <c r="M107" s="190">
        <v>1</v>
      </c>
      <c r="N107" s="189">
        <f t="shared" si="22"/>
        <v>31.8</v>
      </c>
      <c r="O107" s="190">
        <v>0</v>
      </c>
      <c r="P107" s="189">
        <f t="shared" si="23"/>
        <v>0</v>
      </c>
      <c r="Q107" s="190">
        <v>0</v>
      </c>
      <c r="R107" s="189">
        <f t="shared" si="24"/>
        <v>0</v>
      </c>
      <c r="S107" s="216">
        <f t="shared" si="20"/>
        <v>1</v>
      </c>
      <c r="T107" s="75"/>
      <c r="U107" s="111"/>
    </row>
    <row r="108" spans="1:21" ht="30">
      <c r="A108" s="114" t="s">
        <v>351</v>
      </c>
      <c r="B108" s="115" t="s">
        <v>63</v>
      </c>
      <c r="C108" s="5" t="s">
        <v>42</v>
      </c>
      <c r="D108" s="116" t="s">
        <v>14</v>
      </c>
      <c r="E108" s="112">
        <v>2</v>
      </c>
      <c r="F108" s="117">
        <v>10.6</v>
      </c>
      <c r="G108" s="124">
        <f>BDI!$B$23</f>
        <v>0.24873184530590153</v>
      </c>
      <c r="H108" s="119">
        <f t="shared" si="35"/>
        <v>13.23</v>
      </c>
      <c r="I108" s="117">
        <f t="shared" si="36"/>
        <v>26.46</v>
      </c>
      <c r="J108" s="118" t="s">
        <v>236</v>
      </c>
      <c r="K108" s="190">
        <v>0</v>
      </c>
      <c r="L108" s="189">
        <f t="shared" si="21"/>
        <v>0</v>
      </c>
      <c r="M108" s="190">
        <v>1</v>
      </c>
      <c r="N108" s="189">
        <f t="shared" si="22"/>
        <v>26.46</v>
      </c>
      <c r="O108" s="190">
        <v>0</v>
      </c>
      <c r="P108" s="189">
        <f t="shared" si="23"/>
        <v>0</v>
      </c>
      <c r="Q108" s="190">
        <v>0</v>
      </c>
      <c r="R108" s="189">
        <f t="shared" si="24"/>
        <v>0</v>
      </c>
      <c r="S108" s="216">
        <f t="shared" si="20"/>
        <v>1</v>
      </c>
      <c r="T108" s="217"/>
      <c r="U108" s="111"/>
    </row>
    <row r="109" spans="1:21" ht="45">
      <c r="A109" s="114" t="s">
        <v>352</v>
      </c>
      <c r="B109" s="115" t="s">
        <v>44</v>
      </c>
      <c r="C109" s="5" t="s">
        <v>40</v>
      </c>
      <c r="D109" s="116" t="s">
        <v>14</v>
      </c>
      <c r="E109" s="112">
        <v>4</v>
      </c>
      <c r="F109" s="117">
        <v>37.81</v>
      </c>
      <c r="G109" s="124">
        <f>BDI!$B$23</f>
        <v>0.24873184530590153</v>
      </c>
      <c r="H109" s="119">
        <f t="shared" si="35"/>
        <v>47.21</v>
      </c>
      <c r="I109" s="117">
        <f t="shared" si="36"/>
        <v>188.84</v>
      </c>
      <c r="J109" s="118" t="s">
        <v>237</v>
      </c>
      <c r="K109" s="190">
        <v>0</v>
      </c>
      <c r="L109" s="189">
        <f t="shared" si="21"/>
        <v>0</v>
      </c>
      <c r="M109" s="190">
        <v>1</v>
      </c>
      <c r="N109" s="189">
        <f t="shared" si="22"/>
        <v>188.84</v>
      </c>
      <c r="O109" s="190">
        <v>0</v>
      </c>
      <c r="P109" s="189">
        <f t="shared" si="23"/>
        <v>0</v>
      </c>
      <c r="Q109" s="190">
        <v>0</v>
      </c>
      <c r="R109" s="189">
        <f t="shared" si="24"/>
        <v>0</v>
      </c>
      <c r="S109" s="216">
        <f t="shared" si="20"/>
        <v>1</v>
      </c>
      <c r="T109" s="75"/>
      <c r="U109" s="111">
        <f>SUM(L114+N114+P114+R114)</f>
        <v>97.2</v>
      </c>
    </row>
    <row r="110" spans="1:21" ht="45">
      <c r="A110" s="114" t="s">
        <v>353</v>
      </c>
      <c r="B110" s="115" t="s">
        <v>45</v>
      </c>
      <c r="C110" s="5" t="s">
        <v>46</v>
      </c>
      <c r="D110" s="116" t="s">
        <v>14</v>
      </c>
      <c r="E110" s="112">
        <v>1</v>
      </c>
      <c r="F110" s="117">
        <v>7.23</v>
      </c>
      <c r="G110" s="124">
        <f>BDI!$B$23</f>
        <v>0.24873184530590153</v>
      </c>
      <c r="H110" s="119">
        <f t="shared" si="35"/>
        <v>9.02</v>
      </c>
      <c r="I110" s="117">
        <f t="shared" si="36"/>
        <v>9.02</v>
      </c>
      <c r="J110" s="118" t="s">
        <v>238</v>
      </c>
      <c r="K110" s="190">
        <v>0</v>
      </c>
      <c r="L110" s="189">
        <f t="shared" si="21"/>
        <v>0</v>
      </c>
      <c r="M110" s="190">
        <v>1</v>
      </c>
      <c r="N110" s="189">
        <f t="shared" si="22"/>
        <v>9.02</v>
      </c>
      <c r="O110" s="190">
        <v>0</v>
      </c>
      <c r="P110" s="189">
        <f t="shared" si="23"/>
        <v>0</v>
      </c>
      <c r="Q110" s="190">
        <v>0</v>
      </c>
      <c r="R110" s="189">
        <f t="shared" si="24"/>
        <v>0</v>
      </c>
      <c r="S110" s="216">
        <f t="shared" si="20"/>
        <v>1</v>
      </c>
      <c r="T110" s="75"/>
      <c r="U110" s="111">
        <f>SUM(L115+N115+P115+R115)</f>
        <v>763.04</v>
      </c>
    </row>
    <row r="111" spans="1:21" ht="45">
      <c r="A111" s="114" t="s">
        <v>354</v>
      </c>
      <c r="B111" s="115" t="s">
        <v>64</v>
      </c>
      <c r="C111" s="5" t="s">
        <v>47</v>
      </c>
      <c r="D111" s="116" t="s">
        <v>14</v>
      </c>
      <c r="E111" s="112">
        <v>3</v>
      </c>
      <c r="F111" s="117">
        <v>24.8</v>
      </c>
      <c r="G111" s="124">
        <f>BDI!$B$23</f>
        <v>0.24873184530590153</v>
      </c>
      <c r="H111" s="119">
        <f t="shared" si="35"/>
        <v>30.96</v>
      </c>
      <c r="I111" s="117">
        <f t="shared" si="36"/>
        <v>92.88</v>
      </c>
      <c r="J111" s="118" t="s">
        <v>239</v>
      </c>
      <c r="K111" s="190">
        <v>0</v>
      </c>
      <c r="L111" s="189">
        <f t="shared" si="21"/>
        <v>0</v>
      </c>
      <c r="M111" s="190">
        <v>1</v>
      </c>
      <c r="N111" s="189">
        <f t="shared" si="22"/>
        <v>92.88</v>
      </c>
      <c r="O111" s="190">
        <v>0</v>
      </c>
      <c r="P111" s="189">
        <f t="shared" si="23"/>
        <v>0</v>
      </c>
      <c r="Q111" s="190">
        <v>0</v>
      </c>
      <c r="R111" s="189">
        <f t="shared" si="24"/>
        <v>0</v>
      </c>
      <c r="S111" s="216">
        <f t="shared" si="20"/>
        <v>1</v>
      </c>
      <c r="T111" s="75"/>
      <c r="U111" s="111">
        <f>SUM(L116+N116+P116+R116)</f>
        <v>344.46</v>
      </c>
    </row>
    <row r="112" spans="1:21">
      <c r="A112" s="114"/>
      <c r="B112" s="123"/>
      <c r="C112" s="16"/>
      <c r="D112" s="17"/>
      <c r="E112" s="18"/>
      <c r="F112" s="20"/>
      <c r="G112" s="20"/>
      <c r="H112" s="20"/>
      <c r="I112" s="18"/>
      <c r="J112" s="19"/>
      <c r="K112" s="190"/>
      <c r="L112" s="190"/>
      <c r="M112" s="190"/>
      <c r="N112" s="190"/>
      <c r="O112" s="190"/>
      <c r="P112" s="190"/>
      <c r="Q112" s="190"/>
      <c r="R112" s="190"/>
      <c r="S112" s="216">
        <f t="shared" si="20"/>
        <v>0</v>
      </c>
      <c r="T112" s="75"/>
      <c r="U112" s="111">
        <f>SUM(L117+N117+P117+R117)</f>
        <v>58.62</v>
      </c>
    </row>
    <row r="113" spans="1:21">
      <c r="A113" s="31">
        <v>10</v>
      </c>
      <c r="B113" s="32" t="s">
        <v>48</v>
      </c>
      <c r="C113" s="33"/>
      <c r="D113" s="34"/>
      <c r="E113" s="35"/>
      <c r="F113" s="39"/>
      <c r="G113" s="39"/>
      <c r="H113" s="40"/>
      <c r="I113" s="37">
        <f>SUM(I114:I117)</f>
        <v>1263.32</v>
      </c>
      <c r="J113" s="38"/>
      <c r="K113" s="198"/>
      <c r="L113" s="198"/>
      <c r="M113" s="198"/>
      <c r="N113" s="198"/>
      <c r="O113" s="198"/>
      <c r="P113" s="198"/>
      <c r="Q113" s="198"/>
      <c r="R113" s="198"/>
      <c r="S113" s="216">
        <f t="shared" si="20"/>
        <v>0</v>
      </c>
      <c r="T113" s="217">
        <f>I113/I$138</f>
        <v>5.2408277295223219E-3</v>
      </c>
      <c r="U113" s="111"/>
    </row>
    <row r="114" spans="1:21" ht="30">
      <c r="A114" s="114" t="s">
        <v>355</v>
      </c>
      <c r="B114" s="115" t="s">
        <v>21</v>
      </c>
      <c r="C114" s="5" t="s">
        <v>154</v>
      </c>
      <c r="D114" s="116" t="s">
        <v>14</v>
      </c>
      <c r="E114" s="112">
        <v>1</v>
      </c>
      <c r="F114" s="117">
        <v>77.84</v>
      </c>
      <c r="G114" s="124">
        <f>BDI!$B$23</f>
        <v>0.24873184530590153</v>
      </c>
      <c r="H114" s="119">
        <f t="shared" ref="H114:H117" si="37">TRUNC(F114*(1+G114),2)</f>
        <v>97.2</v>
      </c>
      <c r="I114" s="117">
        <f t="shared" ref="I114:I117" si="38">TRUNC(E114*H114,2)</f>
        <v>97.2</v>
      </c>
      <c r="J114" s="118" t="s">
        <v>240</v>
      </c>
      <c r="K114" s="190">
        <v>0</v>
      </c>
      <c r="L114" s="189">
        <f t="shared" si="21"/>
        <v>0</v>
      </c>
      <c r="M114" s="190">
        <v>1</v>
      </c>
      <c r="N114" s="189">
        <f t="shared" si="22"/>
        <v>97.2</v>
      </c>
      <c r="O114" s="190">
        <v>0</v>
      </c>
      <c r="P114" s="189">
        <f t="shared" si="23"/>
        <v>0</v>
      </c>
      <c r="Q114" s="190">
        <v>0</v>
      </c>
      <c r="R114" s="189">
        <f t="shared" si="24"/>
        <v>0</v>
      </c>
      <c r="S114" s="216">
        <f t="shared" si="20"/>
        <v>1</v>
      </c>
      <c r="T114" s="217"/>
      <c r="U114" s="111"/>
    </row>
    <row r="115" spans="1:21" ht="45">
      <c r="A115" s="114" t="s">
        <v>362</v>
      </c>
      <c r="B115" s="115" t="s">
        <v>52</v>
      </c>
      <c r="C115" s="5" t="s">
        <v>93</v>
      </c>
      <c r="D115" s="116" t="s">
        <v>14</v>
      </c>
      <c r="E115" s="112">
        <v>2</v>
      </c>
      <c r="F115" s="117">
        <v>305.52999999999997</v>
      </c>
      <c r="G115" s="124">
        <f>BDI!$B$23</f>
        <v>0.24873184530590153</v>
      </c>
      <c r="H115" s="119">
        <f t="shared" si="37"/>
        <v>381.52</v>
      </c>
      <c r="I115" s="117">
        <f t="shared" si="38"/>
        <v>763.04</v>
      </c>
      <c r="J115" s="118" t="s">
        <v>241</v>
      </c>
      <c r="K115" s="190">
        <v>0</v>
      </c>
      <c r="L115" s="189">
        <f t="shared" si="21"/>
        <v>0</v>
      </c>
      <c r="M115" s="190">
        <v>0</v>
      </c>
      <c r="N115" s="189">
        <f t="shared" si="22"/>
        <v>0</v>
      </c>
      <c r="O115" s="190">
        <v>0</v>
      </c>
      <c r="P115" s="189">
        <f t="shared" si="23"/>
        <v>0</v>
      </c>
      <c r="Q115" s="190">
        <v>1</v>
      </c>
      <c r="R115" s="189">
        <f t="shared" si="24"/>
        <v>763.04</v>
      </c>
      <c r="S115" s="216">
        <f t="shared" si="20"/>
        <v>1</v>
      </c>
      <c r="T115" s="75"/>
      <c r="U115" s="111">
        <f>SUM(L120+N120+P120+R120)</f>
        <v>336.73</v>
      </c>
    </row>
    <row r="116" spans="1:21" ht="45">
      <c r="A116" s="114" t="s">
        <v>363</v>
      </c>
      <c r="B116" s="115" t="s">
        <v>53</v>
      </c>
      <c r="C116" s="5" t="s">
        <v>92</v>
      </c>
      <c r="D116" s="116" t="s">
        <v>14</v>
      </c>
      <c r="E116" s="112">
        <v>2</v>
      </c>
      <c r="F116" s="117">
        <v>137.93</v>
      </c>
      <c r="G116" s="124">
        <f>BDI!$B$23</f>
        <v>0.24873184530590153</v>
      </c>
      <c r="H116" s="119">
        <f t="shared" si="37"/>
        <v>172.23</v>
      </c>
      <c r="I116" s="117">
        <f t="shared" si="38"/>
        <v>344.46</v>
      </c>
      <c r="J116" s="118" t="s">
        <v>242</v>
      </c>
      <c r="K116" s="190">
        <v>0</v>
      </c>
      <c r="L116" s="189">
        <f t="shared" si="21"/>
        <v>0</v>
      </c>
      <c r="M116" s="190">
        <v>0</v>
      </c>
      <c r="N116" s="189">
        <f t="shared" si="22"/>
        <v>0</v>
      </c>
      <c r="O116" s="190">
        <v>0</v>
      </c>
      <c r="P116" s="189">
        <f t="shared" si="23"/>
        <v>0</v>
      </c>
      <c r="Q116" s="190">
        <v>1</v>
      </c>
      <c r="R116" s="189">
        <f t="shared" si="24"/>
        <v>344.46</v>
      </c>
      <c r="S116" s="216">
        <f t="shared" si="20"/>
        <v>1</v>
      </c>
      <c r="T116" s="75"/>
      <c r="U116" s="111"/>
    </row>
    <row r="117" spans="1:21" ht="45">
      <c r="A117" s="114" t="s">
        <v>364</v>
      </c>
      <c r="B117" s="115" t="s">
        <v>54</v>
      </c>
      <c r="C117" s="5" t="s">
        <v>91</v>
      </c>
      <c r="D117" s="116" t="s">
        <v>14</v>
      </c>
      <c r="E117" s="112">
        <v>1</v>
      </c>
      <c r="F117" s="117">
        <v>46.95</v>
      </c>
      <c r="G117" s="124">
        <f>BDI!$B$23</f>
        <v>0.24873184530590153</v>
      </c>
      <c r="H117" s="119">
        <f t="shared" si="37"/>
        <v>58.62</v>
      </c>
      <c r="I117" s="117">
        <f t="shared" si="38"/>
        <v>58.62</v>
      </c>
      <c r="J117" s="118" t="s">
        <v>243</v>
      </c>
      <c r="K117" s="190">
        <v>0</v>
      </c>
      <c r="L117" s="189">
        <f t="shared" si="21"/>
        <v>0</v>
      </c>
      <c r="M117" s="190">
        <v>1</v>
      </c>
      <c r="N117" s="189">
        <f t="shared" si="22"/>
        <v>58.62</v>
      </c>
      <c r="O117" s="190">
        <v>0</v>
      </c>
      <c r="P117" s="189">
        <f t="shared" si="23"/>
        <v>0</v>
      </c>
      <c r="Q117" s="190">
        <v>0</v>
      </c>
      <c r="R117" s="189">
        <f t="shared" si="24"/>
        <v>0</v>
      </c>
      <c r="S117" s="216">
        <f t="shared" si="20"/>
        <v>1</v>
      </c>
      <c r="T117" s="217"/>
      <c r="U117" s="111"/>
    </row>
    <row r="118" spans="1:21">
      <c r="A118" s="122"/>
      <c r="B118" s="123"/>
      <c r="C118" s="16"/>
      <c r="D118" s="17"/>
      <c r="E118" s="18"/>
      <c r="F118" s="20"/>
      <c r="G118" s="20"/>
      <c r="H118" s="20"/>
      <c r="I118" s="18"/>
      <c r="J118" s="19"/>
      <c r="K118" s="190"/>
      <c r="L118" s="190"/>
      <c r="M118" s="190"/>
      <c r="N118" s="190"/>
      <c r="O118" s="190"/>
      <c r="P118" s="190"/>
      <c r="Q118" s="190"/>
      <c r="R118" s="190"/>
      <c r="S118" s="216">
        <f t="shared" si="20"/>
        <v>0</v>
      </c>
      <c r="T118" s="75"/>
      <c r="U118" s="111">
        <f>SUM(L123+N123+P123+R123)</f>
        <v>364.14</v>
      </c>
    </row>
    <row r="119" spans="1:21">
      <c r="A119" s="31">
        <v>11</v>
      </c>
      <c r="B119" s="32" t="s">
        <v>19</v>
      </c>
      <c r="C119" s="33"/>
      <c r="D119" s="34"/>
      <c r="E119" s="35"/>
      <c r="F119" s="39"/>
      <c r="G119" s="39"/>
      <c r="H119" s="40"/>
      <c r="I119" s="37">
        <f>SUM(I120)</f>
        <v>336.73</v>
      </c>
      <c r="J119" s="38"/>
      <c r="K119" s="198"/>
      <c r="L119" s="198"/>
      <c r="M119" s="198"/>
      <c r="N119" s="198"/>
      <c r="O119" s="198"/>
      <c r="P119" s="198"/>
      <c r="Q119" s="198"/>
      <c r="R119" s="198"/>
      <c r="S119" s="216">
        <f t="shared" si="20"/>
        <v>0</v>
      </c>
      <c r="T119" s="217">
        <f>I119/I$138</f>
        <v>1.3969096676709398E-3</v>
      </c>
      <c r="U119" s="111">
        <f>SUM(L124+N124+P124+R124)</f>
        <v>2526</v>
      </c>
    </row>
    <row r="120" spans="1:21" ht="60">
      <c r="A120" s="121" t="s">
        <v>356</v>
      </c>
      <c r="B120" s="11" t="s">
        <v>20</v>
      </c>
      <c r="C120" s="12" t="s">
        <v>153</v>
      </c>
      <c r="D120" s="13" t="s">
        <v>14</v>
      </c>
      <c r="E120" s="125">
        <v>1</v>
      </c>
      <c r="F120" s="15">
        <v>269.66000000000003</v>
      </c>
      <c r="G120" s="124">
        <f>BDI!$B$23</f>
        <v>0.24873184530590153</v>
      </c>
      <c r="H120" s="119">
        <f>TRUNC(F120*(1+G120),2)</f>
        <v>336.73</v>
      </c>
      <c r="I120" s="117">
        <f>TRUNC(E120*H120,2)</f>
        <v>336.73</v>
      </c>
      <c r="J120" s="26" t="s">
        <v>244</v>
      </c>
      <c r="K120" s="190">
        <v>0</v>
      </c>
      <c r="L120" s="189">
        <f t="shared" si="21"/>
        <v>0</v>
      </c>
      <c r="M120" s="190">
        <v>0</v>
      </c>
      <c r="N120" s="189">
        <f t="shared" si="22"/>
        <v>0</v>
      </c>
      <c r="O120" s="190">
        <v>0</v>
      </c>
      <c r="P120" s="189">
        <f t="shared" si="23"/>
        <v>0</v>
      </c>
      <c r="Q120" s="190">
        <v>1</v>
      </c>
      <c r="R120" s="189">
        <f t="shared" si="24"/>
        <v>336.73</v>
      </c>
      <c r="S120" s="216">
        <f t="shared" si="20"/>
        <v>1</v>
      </c>
      <c r="T120" s="75"/>
      <c r="U120" s="111">
        <f>SUM(L125+N125+P125+R125)</f>
        <v>281.12</v>
      </c>
    </row>
    <row r="121" spans="1:21">
      <c r="J121" s="209"/>
      <c r="K121" s="190"/>
      <c r="L121" s="190"/>
      <c r="M121" s="190"/>
      <c r="N121" s="190"/>
      <c r="O121" s="190"/>
      <c r="P121" s="190"/>
      <c r="Q121" s="190"/>
      <c r="R121" s="190"/>
      <c r="S121" s="216">
        <f t="shared" si="20"/>
        <v>0</v>
      </c>
      <c r="T121" s="75"/>
      <c r="U121" s="111">
        <f>SUM(L126+N126+P126+R126)</f>
        <v>906.66</v>
      </c>
    </row>
    <row r="122" spans="1:21">
      <c r="A122" s="31">
        <v>12</v>
      </c>
      <c r="B122" s="32" t="s">
        <v>175</v>
      </c>
      <c r="C122" s="33"/>
      <c r="D122" s="34"/>
      <c r="E122" s="35"/>
      <c r="F122" s="39"/>
      <c r="G122" s="39"/>
      <c r="H122" s="40"/>
      <c r="I122" s="37">
        <f>SUM(I123:I127)</f>
        <v>4398.54</v>
      </c>
      <c r="J122" s="38"/>
      <c r="K122" s="198"/>
      <c r="L122" s="198"/>
      <c r="M122" s="198"/>
      <c r="N122" s="198"/>
      <c r="O122" s="198"/>
      <c r="P122" s="198"/>
      <c r="Q122" s="198"/>
      <c r="R122" s="198"/>
      <c r="S122" s="216">
        <f t="shared" si="20"/>
        <v>0</v>
      </c>
      <c r="T122" s="217">
        <f>I122/I$138</f>
        <v>1.8247150683447674E-2</v>
      </c>
      <c r="U122" s="111">
        <f>SUM(L127+N127+P127+R127)</f>
        <v>320.62</v>
      </c>
    </row>
    <row r="123" spans="1:21" ht="60">
      <c r="A123" s="122" t="s">
        <v>357</v>
      </c>
      <c r="B123" s="123" t="s">
        <v>371</v>
      </c>
      <c r="C123" s="16"/>
      <c r="D123" s="116" t="s">
        <v>13</v>
      </c>
      <c r="E123" s="113">
        <f>E124</f>
        <v>82.2</v>
      </c>
      <c r="F123" s="20">
        <v>3.55</v>
      </c>
      <c r="G123" s="124">
        <f>BDI!$B$23</f>
        <v>0.24873184530590153</v>
      </c>
      <c r="H123" s="119">
        <f>TRUNC(F123*(1+G123),2)</f>
        <v>4.43</v>
      </c>
      <c r="I123" s="117">
        <f>TRUNC(E123*H123,2)</f>
        <v>364.14</v>
      </c>
      <c r="J123" s="21" t="s">
        <v>308</v>
      </c>
      <c r="K123" s="190"/>
      <c r="L123" s="189">
        <f t="shared" si="21"/>
        <v>0</v>
      </c>
      <c r="M123" s="190">
        <v>1</v>
      </c>
      <c r="N123" s="189">
        <f t="shared" si="22"/>
        <v>364.14</v>
      </c>
      <c r="O123" s="190">
        <v>0</v>
      </c>
      <c r="P123" s="189">
        <f t="shared" si="23"/>
        <v>0</v>
      </c>
      <c r="Q123" s="190">
        <v>0</v>
      </c>
      <c r="R123" s="189">
        <f t="shared" si="24"/>
        <v>0</v>
      </c>
      <c r="S123" s="216">
        <f t="shared" si="20"/>
        <v>1</v>
      </c>
      <c r="T123" s="75"/>
      <c r="U123" s="111"/>
    </row>
    <row r="124" spans="1:21" ht="60">
      <c r="A124" s="122" t="s">
        <v>358</v>
      </c>
      <c r="B124" s="115" t="s">
        <v>177</v>
      </c>
      <c r="C124" s="5"/>
      <c r="D124" s="116" t="s">
        <v>13</v>
      </c>
      <c r="E124" s="112">
        <f>(E39+E40)*2</f>
        <v>82.2</v>
      </c>
      <c r="F124" s="117">
        <v>24.61</v>
      </c>
      <c r="G124" s="124">
        <f>BDI!$B$23</f>
        <v>0.24873184530590153</v>
      </c>
      <c r="H124" s="119">
        <f>TRUNC(F124*(1+G124),2)</f>
        <v>30.73</v>
      </c>
      <c r="I124" s="117">
        <f>TRUNC(E124*H124,2)</f>
        <v>2526</v>
      </c>
      <c r="J124" s="118" t="s">
        <v>245</v>
      </c>
      <c r="K124" s="190"/>
      <c r="L124" s="189">
        <f t="shared" si="21"/>
        <v>0</v>
      </c>
      <c r="M124" s="190"/>
      <c r="N124" s="189">
        <f t="shared" si="22"/>
        <v>0</v>
      </c>
      <c r="O124" s="190">
        <v>1</v>
      </c>
      <c r="P124" s="189">
        <f t="shared" si="23"/>
        <v>2526</v>
      </c>
      <c r="Q124" s="190">
        <v>0</v>
      </c>
      <c r="R124" s="189">
        <f t="shared" si="24"/>
        <v>0</v>
      </c>
      <c r="S124" s="216">
        <f t="shared" si="20"/>
        <v>1</v>
      </c>
      <c r="T124" s="217"/>
      <c r="U124" s="111"/>
    </row>
    <row r="125" spans="1:21">
      <c r="A125" s="122" t="s">
        <v>359</v>
      </c>
      <c r="B125" s="115" t="s">
        <v>181</v>
      </c>
      <c r="C125" s="5"/>
      <c r="D125" s="116" t="s">
        <v>13</v>
      </c>
      <c r="E125" s="112">
        <v>82.2</v>
      </c>
      <c r="F125" s="117">
        <v>2.74</v>
      </c>
      <c r="G125" s="124">
        <f>BDI!$B$23</f>
        <v>0.24873184530590153</v>
      </c>
      <c r="H125" s="119">
        <f t="shared" ref="H125:H127" si="39">TRUNC(F125*(1+G125),2)</f>
        <v>3.42</v>
      </c>
      <c r="I125" s="117">
        <f>TRUNC(E125*H125,2)</f>
        <v>281.12</v>
      </c>
      <c r="J125" s="118" t="s">
        <v>246</v>
      </c>
      <c r="K125" s="190"/>
      <c r="L125" s="189">
        <f t="shared" si="21"/>
        <v>0</v>
      </c>
      <c r="M125" s="190"/>
      <c r="N125" s="189">
        <f t="shared" si="22"/>
        <v>0</v>
      </c>
      <c r="O125" s="190">
        <v>0</v>
      </c>
      <c r="P125" s="189">
        <f t="shared" si="23"/>
        <v>0</v>
      </c>
      <c r="Q125" s="190">
        <v>1</v>
      </c>
      <c r="R125" s="189">
        <f t="shared" si="24"/>
        <v>281.12</v>
      </c>
      <c r="S125" s="216">
        <f t="shared" si="20"/>
        <v>1</v>
      </c>
      <c r="T125" s="75"/>
      <c r="U125" s="111">
        <f t="shared" ref="U125:U130" si="40">SUM(L130+N130+P130+R130)</f>
        <v>477.45</v>
      </c>
    </row>
    <row r="126" spans="1:21" ht="30">
      <c r="A126" s="122" t="s">
        <v>360</v>
      </c>
      <c r="B126" s="115" t="s">
        <v>182</v>
      </c>
      <c r="C126" s="5"/>
      <c r="D126" s="116" t="s">
        <v>13</v>
      </c>
      <c r="E126" s="112">
        <v>82.2</v>
      </c>
      <c r="F126" s="117">
        <v>8.84</v>
      </c>
      <c r="G126" s="124">
        <f>BDI!$B$23</f>
        <v>0.24873184530590153</v>
      </c>
      <c r="H126" s="119">
        <f t="shared" si="39"/>
        <v>11.03</v>
      </c>
      <c r="I126" s="117">
        <f t="shared" ref="I126:I127" si="41">TRUNC(E126*H126,2)</f>
        <v>906.66</v>
      </c>
      <c r="J126" s="118" t="s">
        <v>247</v>
      </c>
      <c r="K126" s="190"/>
      <c r="L126" s="189">
        <f t="shared" si="21"/>
        <v>0</v>
      </c>
      <c r="M126" s="190"/>
      <c r="N126" s="189">
        <f t="shared" si="22"/>
        <v>0</v>
      </c>
      <c r="O126" s="190">
        <v>0</v>
      </c>
      <c r="P126" s="189">
        <f t="shared" si="23"/>
        <v>0</v>
      </c>
      <c r="Q126" s="190">
        <v>1</v>
      </c>
      <c r="R126" s="189">
        <f t="shared" si="24"/>
        <v>906.66</v>
      </c>
      <c r="S126" s="216">
        <f t="shared" si="20"/>
        <v>1</v>
      </c>
      <c r="T126" s="75"/>
      <c r="U126" s="111">
        <f t="shared" si="40"/>
        <v>586.55999999999995</v>
      </c>
    </row>
    <row r="127" spans="1:21" ht="30">
      <c r="A127" s="122" t="s">
        <v>361</v>
      </c>
      <c r="B127" s="115" t="s">
        <v>183</v>
      </c>
      <c r="C127" s="5"/>
      <c r="D127" s="116" t="s">
        <v>13</v>
      </c>
      <c r="E127" s="112">
        <f>4.5*3</f>
        <v>13.5</v>
      </c>
      <c r="F127" s="117">
        <v>19.02</v>
      </c>
      <c r="G127" s="124">
        <f>BDI!$B$23</f>
        <v>0.24873184530590153</v>
      </c>
      <c r="H127" s="119">
        <f t="shared" si="39"/>
        <v>23.75</v>
      </c>
      <c r="I127" s="117">
        <f t="shared" si="41"/>
        <v>320.62</v>
      </c>
      <c r="J127" s="118" t="s">
        <v>248</v>
      </c>
      <c r="K127" s="190"/>
      <c r="L127" s="189">
        <f t="shared" si="21"/>
        <v>0</v>
      </c>
      <c r="M127" s="190"/>
      <c r="N127" s="189">
        <f t="shared" si="22"/>
        <v>0</v>
      </c>
      <c r="O127" s="190">
        <v>0</v>
      </c>
      <c r="P127" s="189">
        <f t="shared" si="23"/>
        <v>0</v>
      </c>
      <c r="Q127" s="190">
        <v>1</v>
      </c>
      <c r="R127" s="189">
        <f t="shared" si="24"/>
        <v>320.62</v>
      </c>
      <c r="S127" s="216">
        <f t="shared" si="20"/>
        <v>1</v>
      </c>
      <c r="T127" s="75"/>
      <c r="U127" s="111">
        <f t="shared" si="40"/>
        <v>20.37</v>
      </c>
    </row>
    <row r="128" spans="1:21">
      <c r="A128" s="114"/>
      <c r="B128" s="115"/>
      <c r="C128" s="5"/>
      <c r="D128" s="116"/>
      <c r="E128" s="112"/>
      <c r="F128" s="117"/>
      <c r="G128" s="124"/>
      <c r="H128" s="119"/>
      <c r="I128" s="117"/>
      <c r="J128" s="118"/>
      <c r="K128" s="190"/>
      <c r="L128" s="190"/>
      <c r="M128" s="190"/>
      <c r="N128" s="190"/>
      <c r="O128" s="190"/>
      <c r="P128" s="190"/>
      <c r="Q128" s="190"/>
      <c r="R128" s="190"/>
      <c r="S128" s="216">
        <f t="shared" si="20"/>
        <v>0</v>
      </c>
      <c r="T128" s="75"/>
      <c r="U128" s="111">
        <f t="shared" si="40"/>
        <v>51.68</v>
      </c>
    </row>
    <row r="129" spans="1:21">
      <c r="A129" s="31">
        <v>13</v>
      </c>
      <c r="B129" s="32" t="s">
        <v>307</v>
      </c>
      <c r="C129" s="33"/>
      <c r="D129" s="34"/>
      <c r="E129" s="35"/>
      <c r="F129" s="39"/>
      <c r="G129" s="39"/>
      <c r="H129" s="40"/>
      <c r="I129" s="37">
        <f>SUM(I130:I135)</f>
        <v>1627.21</v>
      </c>
      <c r="J129" s="38"/>
      <c r="K129" s="198"/>
      <c r="L129" s="198"/>
      <c r="M129" s="198"/>
      <c r="N129" s="198"/>
      <c r="O129" s="198"/>
      <c r="P129" s="198"/>
      <c r="Q129" s="198"/>
      <c r="R129" s="198"/>
      <c r="S129" s="216">
        <f t="shared" si="20"/>
        <v>0</v>
      </c>
      <c r="T129" s="217">
        <f>I129/I$138</f>
        <v>6.750409468508389E-3</v>
      </c>
      <c r="U129" s="111">
        <f t="shared" si="40"/>
        <v>13.7</v>
      </c>
    </row>
    <row r="130" spans="1:21">
      <c r="A130" s="114" t="s">
        <v>365</v>
      </c>
      <c r="B130" s="115" t="s">
        <v>249</v>
      </c>
      <c r="C130" s="5"/>
      <c r="D130" s="116" t="s">
        <v>13</v>
      </c>
      <c r="E130" s="112">
        <v>215.07</v>
      </c>
      <c r="F130" s="117">
        <v>1.78</v>
      </c>
      <c r="G130" s="124">
        <f>BDI!$B$23</f>
        <v>0.24873184530590153</v>
      </c>
      <c r="H130" s="119">
        <f t="shared" ref="H130" si="42">TRUNC(F130*(1+G130),2)</f>
        <v>2.2200000000000002</v>
      </c>
      <c r="I130" s="117">
        <f t="shared" ref="I130:I134" si="43">TRUNC(E130*H130,2)</f>
        <v>477.45</v>
      </c>
      <c r="J130" s="118" t="s">
        <v>195</v>
      </c>
      <c r="K130" s="190">
        <v>1</v>
      </c>
      <c r="L130" s="189">
        <f t="shared" si="21"/>
        <v>477.45</v>
      </c>
      <c r="M130" s="190"/>
      <c r="N130" s="189">
        <f t="shared" si="22"/>
        <v>0</v>
      </c>
      <c r="O130" s="190">
        <v>0</v>
      </c>
      <c r="P130" s="189">
        <f t="shared" si="23"/>
        <v>0</v>
      </c>
      <c r="Q130" s="190">
        <v>0</v>
      </c>
      <c r="R130" s="189">
        <f t="shared" si="24"/>
        <v>0</v>
      </c>
      <c r="S130" s="216">
        <f t="shared" si="20"/>
        <v>1</v>
      </c>
      <c r="T130" s="75"/>
      <c r="U130" s="111">
        <f t="shared" si="40"/>
        <v>477.45</v>
      </c>
    </row>
    <row r="131" spans="1:21" ht="30">
      <c r="A131" s="114" t="s">
        <v>366</v>
      </c>
      <c r="B131" s="115" t="s">
        <v>192</v>
      </c>
      <c r="C131" s="5"/>
      <c r="D131" s="116" t="s">
        <v>23</v>
      </c>
      <c r="E131" s="112">
        <f>E90+E91+E100+E101</f>
        <v>59.550000000000004</v>
      </c>
      <c r="F131" s="117">
        <v>7.89</v>
      </c>
      <c r="G131" s="124">
        <f>BDI!$B$23</f>
        <v>0.24873184530590153</v>
      </c>
      <c r="H131" s="119">
        <f>TRUNC(F131*(1+G131),2)</f>
        <v>9.85</v>
      </c>
      <c r="I131" s="117">
        <f t="shared" si="43"/>
        <v>586.55999999999995</v>
      </c>
      <c r="J131" s="118" t="s">
        <v>191</v>
      </c>
      <c r="K131" s="190">
        <v>0</v>
      </c>
      <c r="L131" s="189">
        <f t="shared" si="21"/>
        <v>0</v>
      </c>
      <c r="M131" s="190">
        <v>1</v>
      </c>
      <c r="N131" s="189">
        <f t="shared" si="22"/>
        <v>586.55999999999995</v>
      </c>
      <c r="O131" s="190">
        <v>0</v>
      </c>
      <c r="P131" s="189">
        <f t="shared" si="23"/>
        <v>0</v>
      </c>
      <c r="Q131" s="190">
        <v>0</v>
      </c>
      <c r="R131" s="189">
        <f t="shared" si="24"/>
        <v>0</v>
      </c>
      <c r="S131" s="216">
        <f t="shared" si="20"/>
        <v>1</v>
      </c>
      <c r="T131" s="75"/>
      <c r="U131" s="111"/>
    </row>
    <row r="132" spans="1:21">
      <c r="A132" s="114" t="s">
        <v>367</v>
      </c>
      <c r="B132" s="115" t="s">
        <v>251</v>
      </c>
      <c r="C132" s="5"/>
      <c r="D132" s="116" t="s">
        <v>190</v>
      </c>
      <c r="E132" s="112">
        <v>1</v>
      </c>
      <c r="F132" s="117">
        <v>16.32</v>
      </c>
      <c r="G132" s="124">
        <f>BDI!$B$23</f>
        <v>0.24873184530590153</v>
      </c>
      <c r="H132" s="119">
        <f t="shared" ref="H132:H134" si="44">TRUNC(F132*(1+G132),2)</f>
        <v>20.37</v>
      </c>
      <c r="I132" s="117">
        <f t="shared" si="43"/>
        <v>20.37</v>
      </c>
      <c r="J132" s="118" t="s">
        <v>250</v>
      </c>
      <c r="K132" s="190">
        <v>0</v>
      </c>
      <c r="L132" s="189">
        <f t="shared" si="21"/>
        <v>0</v>
      </c>
      <c r="M132" s="190"/>
      <c r="N132" s="189">
        <f t="shared" si="22"/>
        <v>0</v>
      </c>
      <c r="O132" s="190">
        <v>0</v>
      </c>
      <c r="P132" s="189">
        <f t="shared" si="23"/>
        <v>0</v>
      </c>
      <c r="Q132" s="190">
        <v>1</v>
      </c>
      <c r="R132" s="189">
        <f t="shared" si="24"/>
        <v>20.37</v>
      </c>
      <c r="S132" s="216">
        <f t="shared" si="20"/>
        <v>1</v>
      </c>
      <c r="T132" s="75"/>
    </row>
    <row r="133" spans="1:21" s="221" customFormat="1">
      <c r="A133" s="114" t="s">
        <v>368</v>
      </c>
      <c r="B133" s="115" t="s">
        <v>252</v>
      </c>
      <c r="C133" s="5"/>
      <c r="D133" s="116" t="s">
        <v>190</v>
      </c>
      <c r="E133" s="112">
        <v>1</v>
      </c>
      <c r="F133" s="117">
        <v>41.39</v>
      </c>
      <c r="G133" s="124">
        <f>BDI!$B$23</f>
        <v>0.24873184530590153</v>
      </c>
      <c r="H133" s="119">
        <f t="shared" si="44"/>
        <v>51.68</v>
      </c>
      <c r="I133" s="117">
        <f t="shared" si="43"/>
        <v>51.68</v>
      </c>
      <c r="J133" s="118" t="s">
        <v>253</v>
      </c>
      <c r="K133" s="190">
        <v>0</v>
      </c>
      <c r="L133" s="189">
        <f t="shared" si="21"/>
        <v>0</v>
      </c>
      <c r="M133" s="190"/>
      <c r="N133" s="189">
        <f t="shared" si="22"/>
        <v>0</v>
      </c>
      <c r="O133" s="190">
        <v>0</v>
      </c>
      <c r="P133" s="189">
        <f t="shared" si="23"/>
        <v>0</v>
      </c>
      <c r="Q133" s="190">
        <v>1</v>
      </c>
      <c r="R133" s="189">
        <f t="shared" si="24"/>
        <v>51.68</v>
      </c>
      <c r="S133" s="216">
        <f t="shared" si="20"/>
        <v>1</v>
      </c>
      <c r="T133" s="219"/>
      <c r="U133" s="220">
        <f>SUM(L138+N138+P138+R138)</f>
        <v>1.0000000192534282</v>
      </c>
    </row>
    <row r="134" spans="1:21" ht="30">
      <c r="A134" s="114" t="s">
        <v>369</v>
      </c>
      <c r="B134" s="115" t="s">
        <v>373</v>
      </c>
      <c r="C134" s="5"/>
      <c r="D134" s="116" t="s">
        <v>374</v>
      </c>
      <c r="E134" s="112">
        <v>10</v>
      </c>
      <c r="F134" s="126">
        <v>1.1000000000000001</v>
      </c>
      <c r="G134" s="124">
        <f>BDI!$B$23</f>
        <v>0.24873184530590153</v>
      </c>
      <c r="H134" s="119">
        <f t="shared" si="44"/>
        <v>1.37</v>
      </c>
      <c r="I134" s="117">
        <f t="shared" si="43"/>
        <v>13.7</v>
      </c>
      <c r="J134" s="118" t="s">
        <v>372</v>
      </c>
      <c r="K134" s="190">
        <v>0</v>
      </c>
      <c r="L134" s="189">
        <f t="shared" si="21"/>
        <v>0</v>
      </c>
      <c r="M134" s="190"/>
      <c r="N134" s="189">
        <f t="shared" si="22"/>
        <v>0</v>
      </c>
      <c r="O134" s="190">
        <v>0</v>
      </c>
      <c r="P134" s="189">
        <f t="shared" si="23"/>
        <v>0</v>
      </c>
      <c r="Q134" s="190">
        <v>1</v>
      </c>
      <c r="R134" s="189">
        <f t="shared" si="24"/>
        <v>13.7</v>
      </c>
      <c r="S134" s="216">
        <f t="shared" si="20"/>
        <v>1</v>
      </c>
    </row>
    <row r="135" spans="1:21">
      <c r="A135" s="114" t="s">
        <v>370</v>
      </c>
      <c r="B135" s="115" t="s">
        <v>196</v>
      </c>
      <c r="C135" s="5"/>
      <c r="D135" s="116" t="s">
        <v>13</v>
      </c>
      <c r="E135" s="112">
        <v>215.07</v>
      </c>
      <c r="F135" s="117">
        <v>1.78</v>
      </c>
      <c r="G135" s="124">
        <f>BDI!$B$23</f>
        <v>0.24873184530590153</v>
      </c>
      <c r="H135" s="119">
        <f>TRUNC(F135*(1+G135),2)</f>
        <v>2.2200000000000002</v>
      </c>
      <c r="I135" s="117">
        <f>TRUNC(E135*H135,2)</f>
        <v>477.45</v>
      </c>
      <c r="J135" s="118" t="s">
        <v>195</v>
      </c>
      <c r="K135" s="190">
        <v>0</v>
      </c>
      <c r="L135" s="189">
        <f t="shared" si="21"/>
        <v>0</v>
      </c>
      <c r="M135" s="190"/>
      <c r="N135" s="189">
        <f t="shared" si="22"/>
        <v>0</v>
      </c>
      <c r="O135" s="190">
        <v>0</v>
      </c>
      <c r="P135" s="189">
        <f t="shared" si="23"/>
        <v>0</v>
      </c>
      <c r="Q135" s="190">
        <v>1</v>
      </c>
      <c r="R135" s="189">
        <f t="shared" si="24"/>
        <v>477.45</v>
      </c>
      <c r="S135" s="216">
        <f t="shared" si="20"/>
        <v>1</v>
      </c>
    </row>
    <row r="136" spans="1:21">
      <c r="A136" s="121"/>
      <c r="B136" s="11"/>
      <c r="C136" s="12"/>
      <c r="D136" s="13"/>
      <c r="E136" s="14"/>
      <c r="F136" s="14"/>
      <c r="G136" s="14"/>
      <c r="H136" s="14"/>
      <c r="I136" s="14"/>
      <c r="J136" s="14"/>
      <c r="K136" s="192"/>
      <c r="L136" s="189"/>
      <c r="M136" s="192"/>
      <c r="N136" s="193"/>
      <c r="O136" s="192"/>
      <c r="P136" s="193"/>
      <c r="Q136" s="192"/>
      <c r="R136" s="193"/>
    </row>
    <row r="137" spans="1:21">
      <c r="A137" s="63"/>
      <c r="B137" s="64"/>
      <c r="C137" s="65"/>
      <c r="D137" s="66"/>
      <c r="E137" s="67"/>
      <c r="F137" s="67"/>
      <c r="G137" s="67"/>
      <c r="H137" s="67"/>
      <c r="I137" s="67"/>
      <c r="J137" s="67"/>
      <c r="K137" s="191"/>
      <c r="L137" s="233">
        <f>SUM(L12:L136)</f>
        <v>24644.080000000005</v>
      </c>
      <c r="M137" s="191"/>
      <c r="N137" s="233">
        <f>SUM(N12:N136)</f>
        <v>32369.509999999995</v>
      </c>
      <c r="O137" s="191"/>
      <c r="P137" s="233">
        <f>SUM(P12:P136)</f>
        <v>77941.31</v>
      </c>
      <c r="Q137" s="191"/>
      <c r="R137" s="233">
        <f>SUM(R12:R136)+0.04</f>
        <v>106098.62999999996</v>
      </c>
    </row>
    <row r="138" spans="1:21">
      <c r="A138" s="41" t="s">
        <v>131</v>
      </c>
      <c r="B138" s="42" t="s">
        <v>158</v>
      </c>
      <c r="C138" s="43"/>
      <c r="D138" s="44" t="s">
        <v>67</v>
      </c>
      <c r="E138" s="52"/>
      <c r="F138" s="53"/>
      <c r="G138" s="53"/>
      <c r="H138" s="54"/>
      <c r="I138" s="45">
        <f>I9+I18+I26+I28+I37+I42+I49+I55+I87+I113+I119+I122+I129</f>
        <v>241053.52535889324</v>
      </c>
      <c r="J138" s="46"/>
      <c r="K138" s="200"/>
      <c r="L138" s="231">
        <f>L137/$I138</f>
        <v>0.10223488730691076</v>
      </c>
      <c r="M138" s="200"/>
      <c r="N138" s="231">
        <f>N137/$I138</f>
        <v>0.1342834955506523</v>
      </c>
      <c r="O138" s="200"/>
      <c r="P138" s="231">
        <f>P137/$I138</f>
        <v>0.32333611335472839</v>
      </c>
      <c r="Q138" s="200"/>
      <c r="R138" s="231">
        <f>R137/$I138</f>
        <v>0.44014552304113663</v>
      </c>
      <c r="T138" s="217">
        <f>I138/I$138</f>
        <v>1</v>
      </c>
      <c r="U138" s="230">
        <f>SUM(T9:T129)</f>
        <v>0.99999999999999967</v>
      </c>
    </row>
    <row r="139" spans="1:21">
      <c r="T139" s="232">
        <f>L138+N138+P138+R138</f>
        <v>1.0000000192534282</v>
      </c>
    </row>
    <row r="140" spans="1:21">
      <c r="I140" s="79">
        <f>L137+N137+P137+R137</f>
        <v>241053.52999999997</v>
      </c>
      <c r="T140" s="230">
        <f>T138-T139</f>
        <v>-1.9253428185095345E-8</v>
      </c>
    </row>
    <row r="141" spans="1:21">
      <c r="I141" s="79"/>
      <c r="T141" s="237">
        <f>T140*I138</f>
        <v>-4.6411067392615104E-3</v>
      </c>
    </row>
  </sheetData>
  <mergeCells count="6">
    <mergeCell ref="K7:L7"/>
    <mergeCell ref="M7:N7"/>
    <mergeCell ref="O7:P7"/>
    <mergeCell ref="Q7:R7"/>
    <mergeCell ref="A2:R2"/>
    <mergeCell ref="B3:K3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3" orientation="landscape" verticalDpi="598" r:id="rId1"/>
  <rowBreaks count="4" manualBreakCount="4">
    <brk id="36" max="17" man="1"/>
    <brk id="54" max="17" man="1"/>
    <brk id="81" max="17" man="1"/>
    <brk id="107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3"/>
  <sheetViews>
    <sheetView workbookViewId="0">
      <selection activeCell="H9" sqref="H9"/>
    </sheetView>
  </sheetViews>
  <sheetFormatPr defaultRowHeight="15"/>
  <cols>
    <col min="1" max="1" width="9.28515625" style="80" customWidth="1"/>
    <col min="2" max="2" width="17.28515625" style="80" bestFit="1" customWidth="1"/>
    <col min="3" max="3" width="56.5703125" style="80" bestFit="1" customWidth="1"/>
    <col min="4" max="4" width="8.42578125" style="82" customWidth="1"/>
    <col min="5" max="5" width="14.28515625" style="80" customWidth="1"/>
    <col min="6" max="6" width="11.5703125" style="80" customWidth="1"/>
    <col min="7" max="7" width="13.28515625" style="80" bestFit="1" customWidth="1"/>
    <col min="8" max="8" width="13.7109375" style="80" bestFit="1" customWidth="1"/>
    <col min="9" max="9" width="7.5703125" style="80" customWidth="1"/>
    <col min="10" max="10" width="37" style="80" customWidth="1"/>
    <col min="11" max="14" width="12.85546875" style="80" customWidth="1"/>
    <col min="15" max="15" width="11.140625" style="80" customWidth="1"/>
    <col min="16" max="16384" width="9.140625" style="80"/>
  </cols>
  <sheetData>
    <row r="1" spans="1:16">
      <c r="C1" s="81"/>
    </row>
    <row r="2" spans="1:16" ht="15.75" thickBot="1"/>
    <row r="3" spans="1:16" s="85" customFormat="1" ht="30.75" thickBot="1">
      <c r="A3" s="83" t="s">
        <v>281</v>
      </c>
      <c r="B3" s="83" t="s">
        <v>282</v>
      </c>
      <c r="C3" s="83" t="s">
        <v>283</v>
      </c>
      <c r="D3" s="83" t="s">
        <v>284</v>
      </c>
      <c r="E3" s="83" t="s">
        <v>285</v>
      </c>
      <c r="F3" s="83" t="s">
        <v>285</v>
      </c>
      <c r="G3" s="84" t="s">
        <v>286</v>
      </c>
      <c r="H3" s="84" t="s">
        <v>287</v>
      </c>
    </row>
    <row r="4" spans="1:16">
      <c r="G4" s="96"/>
      <c r="H4" s="96"/>
    </row>
    <row r="5" spans="1:16" s="89" customFormat="1">
      <c r="A5" s="90"/>
      <c r="B5" s="90"/>
      <c r="C5" s="91"/>
      <c r="D5" s="92"/>
      <c r="E5" s="93"/>
      <c r="F5" s="93"/>
      <c r="G5" s="94"/>
      <c r="H5" s="99"/>
    </row>
    <row r="6" spans="1:16" s="89" customFormat="1">
      <c r="A6" s="86" t="str">
        <f>+'[1]estimativa de preço'!A30</f>
        <v xml:space="preserve">  2.  3</v>
      </c>
      <c r="B6" s="97"/>
      <c r="C6" s="86" t="str">
        <f>ORÇ!B20</f>
        <v>EPI PESSOAL ADMINISTRAÇÃO LOCAL</v>
      </c>
      <c r="D6" s="87"/>
      <c r="E6" s="88"/>
      <c r="F6" s="88"/>
      <c r="G6" s="98"/>
      <c r="H6" s="98">
        <f>SUM(H8:H13)</f>
        <v>753.6400000000001</v>
      </c>
    </row>
    <row r="7" spans="1:16" s="89" customFormat="1" ht="30">
      <c r="A7" s="86"/>
      <c r="B7" s="97"/>
      <c r="C7" s="86"/>
      <c r="D7" s="87"/>
      <c r="E7" s="131" t="s">
        <v>376</v>
      </c>
      <c r="F7" s="88"/>
      <c r="G7" s="98"/>
      <c r="H7" s="98"/>
    </row>
    <row r="8" spans="1:16" s="89" customFormat="1" ht="64.5" customHeight="1">
      <c r="A8" s="90"/>
      <c r="B8" s="95" t="s">
        <v>290</v>
      </c>
      <c r="C8" s="91" t="s">
        <v>291</v>
      </c>
      <c r="D8" s="92" t="s">
        <v>375</v>
      </c>
      <c r="E8" s="131">
        <v>360</v>
      </c>
      <c r="F8" s="93">
        <f>K15</f>
        <v>4</v>
      </c>
      <c r="G8" s="130">
        <v>9.9</v>
      </c>
      <c r="H8" s="134">
        <f t="shared" ref="H8:H12" si="0">+G8*F8</f>
        <v>39.6</v>
      </c>
      <c r="I8" s="100"/>
      <c r="J8" s="107" t="s">
        <v>305</v>
      </c>
      <c r="K8" s="128" t="s">
        <v>291</v>
      </c>
      <c r="L8" s="128" t="s">
        <v>293</v>
      </c>
      <c r="M8" s="91" t="s">
        <v>295</v>
      </c>
      <c r="N8" s="128" t="s">
        <v>296</v>
      </c>
      <c r="O8" s="128" t="s">
        <v>297</v>
      </c>
      <c r="P8" s="128" t="s">
        <v>298</v>
      </c>
    </row>
    <row r="9" spans="1:16" s="89" customFormat="1" ht="30">
      <c r="A9" s="90"/>
      <c r="B9" s="95" t="s">
        <v>292</v>
      </c>
      <c r="C9" s="91" t="s">
        <v>382</v>
      </c>
      <c r="D9" s="92" t="s">
        <v>375</v>
      </c>
      <c r="E9" s="131">
        <v>90</v>
      </c>
      <c r="F9" s="93">
        <f>L15</f>
        <v>8</v>
      </c>
      <c r="G9" s="94">
        <v>47.52</v>
      </c>
      <c r="H9" s="135">
        <f t="shared" si="0"/>
        <v>380.16</v>
      </c>
      <c r="I9" s="100"/>
      <c r="J9" s="107" t="s">
        <v>306</v>
      </c>
      <c r="K9" s="129"/>
      <c r="L9" s="129"/>
      <c r="M9" s="129"/>
      <c r="N9" s="129"/>
      <c r="O9" s="129"/>
      <c r="P9" s="129"/>
    </row>
    <row r="10" spans="1:16" s="89" customFormat="1">
      <c r="A10" s="90"/>
      <c r="B10" s="95" t="s">
        <v>294</v>
      </c>
      <c r="C10" s="91" t="s">
        <v>295</v>
      </c>
      <c r="D10" s="92" t="s">
        <v>375</v>
      </c>
      <c r="E10" s="131">
        <v>10</v>
      </c>
      <c r="F10" s="93">
        <f>M15</f>
        <v>12</v>
      </c>
      <c r="G10" s="94">
        <v>8.91</v>
      </c>
      <c r="H10" s="135">
        <f t="shared" si="0"/>
        <v>106.92</v>
      </c>
      <c r="I10" s="100"/>
      <c r="J10" s="115" t="s">
        <v>279</v>
      </c>
      <c r="K10" s="129">
        <v>1</v>
      </c>
      <c r="L10" s="129">
        <v>2</v>
      </c>
      <c r="M10" s="129">
        <v>0</v>
      </c>
      <c r="N10" s="129">
        <v>2</v>
      </c>
      <c r="O10" s="129">
        <v>60</v>
      </c>
      <c r="P10" s="129">
        <v>3</v>
      </c>
    </row>
    <row r="11" spans="1:16" s="89" customFormat="1">
      <c r="A11" s="90"/>
      <c r="B11" s="95" t="s">
        <v>384</v>
      </c>
      <c r="C11" s="91" t="s">
        <v>296</v>
      </c>
      <c r="D11" s="92" t="s">
        <v>375</v>
      </c>
      <c r="E11" s="131">
        <v>60</v>
      </c>
      <c r="F11" s="93">
        <f>N15</f>
        <v>8</v>
      </c>
      <c r="G11" s="94">
        <v>3.86</v>
      </c>
      <c r="H11" s="135">
        <f>+G11*F11</f>
        <v>30.88</v>
      </c>
      <c r="I11" s="100"/>
      <c r="J11" s="115" t="s">
        <v>260</v>
      </c>
      <c r="K11" s="129">
        <v>1</v>
      </c>
      <c r="L11" s="129">
        <v>2</v>
      </c>
      <c r="M11" s="129">
        <v>0</v>
      </c>
      <c r="N11" s="129">
        <v>2</v>
      </c>
      <c r="O11" s="129">
        <v>60</v>
      </c>
      <c r="P11" s="129">
        <v>3</v>
      </c>
    </row>
    <row r="12" spans="1:16" s="89" customFormat="1">
      <c r="A12" s="90"/>
      <c r="B12" s="95" t="s">
        <v>383</v>
      </c>
      <c r="C12" s="91" t="s">
        <v>297</v>
      </c>
      <c r="D12" s="92" t="s">
        <v>375</v>
      </c>
      <c r="E12" s="131">
        <v>1</v>
      </c>
      <c r="F12" s="93">
        <f>O15</f>
        <v>150</v>
      </c>
      <c r="G12" s="94">
        <v>1.1000000000000001</v>
      </c>
      <c r="H12" s="135">
        <f t="shared" si="0"/>
        <v>165</v>
      </c>
      <c r="I12" s="100"/>
      <c r="J12" s="107" t="s">
        <v>261</v>
      </c>
      <c r="K12" s="129"/>
      <c r="L12" s="129"/>
      <c r="M12" s="129"/>
      <c r="N12" s="129"/>
      <c r="O12" s="129"/>
      <c r="P12" s="129"/>
    </row>
    <row r="13" spans="1:16" s="89" customFormat="1">
      <c r="A13" s="90"/>
      <c r="B13" s="95" t="s">
        <v>386</v>
      </c>
      <c r="C13" s="91" t="s">
        <v>385</v>
      </c>
      <c r="D13" s="92" t="s">
        <v>375</v>
      </c>
      <c r="E13" s="131">
        <v>20</v>
      </c>
      <c r="F13" s="93">
        <f>P15</f>
        <v>21</v>
      </c>
      <c r="G13" s="94">
        <v>1.48</v>
      </c>
      <c r="H13" s="135">
        <f>+G13*F13</f>
        <v>31.08</v>
      </c>
      <c r="I13" s="100"/>
      <c r="J13" s="115" t="s">
        <v>436</v>
      </c>
      <c r="K13" s="129">
        <v>1</v>
      </c>
      <c r="L13" s="129">
        <v>2</v>
      </c>
      <c r="M13" s="129">
        <v>0</v>
      </c>
      <c r="N13" s="129">
        <v>0</v>
      </c>
      <c r="O13" s="129">
        <v>0</v>
      </c>
      <c r="P13" s="129">
        <v>0</v>
      </c>
    </row>
    <row r="14" spans="1:16" s="89" customFormat="1">
      <c r="A14" s="86" t="str">
        <f>+'[1]estimativa de preço'!A33</f>
        <v xml:space="preserve">  2.  6</v>
      </c>
      <c r="B14" s="86"/>
      <c r="C14" s="86" t="str">
        <f>+'[1]estimativa de preço'!B33</f>
        <v>ALIMENTAÇÃO PESSOAL ADMINISTRATIVO E APOIO</v>
      </c>
      <c r="D14" s="87" t="s">
        <v>289</v>
      </c>
      <c r="E14" s="88"/>
      <c r="F14" s="88"/>
      <c r="G14" s="98"/>
      <c r="H14" s="98">
        <f>+H15</f>
        <v>1760</v>
      </c>
      <c r="I14" s="100"/>
      <c r="J14" s="115" t="s">
        <v>437</v>
      </c>
      <c r="K14" s="129">
        <v>1</v>
      </c>
      <c r="L14" s="129">
        <v>2</v>
      </c>
      <c r="M14" s="129">
        <v>12</v>
      </c>
      <c r="N14" s="129">
        <v>4</v>
      </c>
      <c r="O14" s="129">
        <v>30</v>
      </c>
      <c r="P14" s="129">
        <v>15</v>
      </c>
    </row>
    <row r="15" spans="1:16" s="89" customFormat="1">
      <c r="A15" s="90"/>
      <c r="B15" s="95" t="s">
        <v>299</v>
      </c>
      <c r="C15" s="91" t="s">
        <v>300</v>
      </c>
      <c r="D15" s="92" t="s">
        <v>288</v>
      </c>
      <c r="E15" s="93">
        <f>SUM(ORÇ!E11:E16)/4</f>
        <v>880</v>
      </c>
      <c r="F15" s="93"/>
      <c r="G15" s="94">
        <v>2</v>
      </c>
      <c r="H15" s="135">
        <f>+G15*E15</f>
        <v>1760</v>
      </c>
      <c r="I15" s="100"/>
      <c r="J15" s="115" t="s">
        <v>379</v>
      </c>
      <c r="K15" s="129">
        <f t="shared" ref="K15:P15" si="1">SUM(K9:K14)</f>
        <v>4</v>
      </c>
      <c r="L15" s="129">
        <f t="shared" si="1"/>
        <v>8</v>
      </c>
      <c r="M15" s="129">
        <f t="shared" si="1"/>
        <v>12</v>
      </c>
      <c r="N15" s="129">
        <f t="shared" si="1"/>
        <v>8</v>
      </c>
      <c r="O15" s="129">
        <f t="shared" si="1"/>
        <v>150</v>
      </c>
      <c r="P15" s="129">
        <f t="shared" si="1"/>
        <v>21</v>
      </c>
    </row>
    <row r="16" spans="1:16" s="89" customFormat="1">
      <c r="A16" s="86" t="str">
        <f>+'[1]estimativa de preço'!A34</f>
        <v xml:space="preserve">  2.  7</v>
      </c>
      <c r="B16" s="86"/>
      <c r="C16" s="86" t="str">
        <f>+'[1]estimativa de preço'!B34</f>
        <v>EXAMES MEDICOS PESSOAL DE APOIO E ADMINISTRATIVO</v>
      </c>
      <c r="D16" s="87" t="s">
        <v>289</v>
      </c>
      <c r="E16" s="88"/>
      <c r="F16" s="88"/>
      <c r="G16" s="98"/>
      <c r="H16" s="98">
        <f>+H17</f>
        <v>158.4</v>
      </c>
    </row>
    <row r="17" spans="1:16" s="89" customFormat="1">
      <c r="A17" s="90"/>
      <c r="B17" s="95" t="s">
        <v>301</v>
      </c>
      <c r="C17" s="91" t="s">
        <v>302</v>
      </c>
      <c r="D17" s="92" t="s">
        <v>288</v>
      </c>
      <c r="E17" s="93">
        <f>+E15</f>
        <v>880</v>
      </c>
      <c r="F17" s="93"/>
      <c r="G17" s="94">
        <v>0.18</v>
      </c>
      <c r="H17" s="135">
        <f>+G17*E17</f>
        <v>158.4</v>
      </c>
      <c r="I17" s="100"/>
    </row>
    <row r="18" spans="1:16" s="89" customFormat="1">
      <c r="A18" s="86" t="str">
        <f>+'[1]estimativa de preço'!A35</f>
        <v xml:space="preserve">  2.  8</v>
      </c>
      <c r="B18" s="86"/>
      <c r="C18" s="86" t="str">
        <f>+'[1]estimativa de preço'!B35</f>
        <v>TRANSPORTE DE PESSOAL ADMINISTRATIVO E APOIO</v>
      </c>
      <c r="D18" s="87" t="s">
        <v>289</v>
      </c>
      <c r="E18" s="88"/>
      <c r="F18" s="88"/>
      <c r="G18" s="98"/>
      <c r="H18" s="98">
        <f>+H19</f>
        <v>712.80000000000007</v>
      </c>
      <c r="J18" s="80"/>
      <c r="K18" s="80"/>
      <c r="L18" s="80"/>
      <c r="M18" s="80"/>
      <c r="N18" s="80"/>
      <c r="O18" s="80"/>
      <c r="P18" s="80"/>
    </row>
    <row r="19" spans="1:16" s="89" customFormat="1">
      <c r="A19" s="90"/>
      <c r="B19" s="95" t="s">
        <v>303</v>
      </c>
      <c r="C19" s="91" t="str">
        <f>+C18</f>
        <v>TRANSPORTE DE PESSOAL ADMINISTRATIVO E APOIO</v>
      </c>
      <c r="D19" s="92" t="s">
        <v>288</v>
      </c>
      <c r="E19" s="93">
        <f>+E17</f>
        <v>880</v>
      </c>
      <c r="F19" s="93"/>
      <c r="G19" s="94">
        <v>0.81</v>
      </c>
      <c r="H19" s="135">
        <f>+G19*E19</f>
        <v>712.80000000000007</v>
      </c>
      <c r="I19" s="100"/>
      <c r="J19" s="80"/>
      <c r="K19" s="80"/>
      <c r="L19" s="80"/>
      <c r="M19" s="80"/>
      <c r="N19" s="80"/>
      <c r="O19" s="80"/>
      <c r="P19" s="80"/>
    </row>
    <row r="20" spans="1:16" s="89" customFormat="1">
      <c r="A20" s="86" t="str">
        <f>+'[1]estimativa de preço'!A36</f>
        <v xml:space="preserve">  2.  9</v>
      </c>
      <c r="B20" s="86"/>
      <c r="C20" s="86" t="str">
        <f>+'[1]estimativa de preço'!B36</f>
        <v>SEGUROS DE PESSOAL ADMINISTRATIVO E APOIO</v>
      </c>
      <c r="D20" s="87" t="s">
        <v>289</v>
      </c>
      <c r="E20" s="88"/>
      <c r="F20" s="88"/>
      <c r="G20" s="98"/>
      <c r="H20" s="98">
        <f>+H21</f>
        <v>35.200000000000003</v>
      </c>
      <c r="J20" s="80"/>
      <c r="K20" s="80"/>
      <c r="L20" s="80"/>
      <c r="M20" s="80"/>
      <c r="N20" s="80"/>
      <c r="O20" s="80"/>
      <c r="P20" s="80"/>
    </row>
    <row r="21" spans="1:16" s="89" customFormat="1">
      <c r="A21" s="90"/>
      <c r="B21" s="95" t="s">
        <v>304</v>
      </c>
      <c r="C21" s="91" t="str">
        <f>+C20</f>
        <v>SEGUROS DE PESSOAL ADMINISTRATIVO E APOIO</v>
      </c>
      <c r="D21" s="92" t="s">
        <v>288</v>
      </c>
      <c r="E21" s="93">
        <f>+E17</f>
        <v>880</v>
      </c>
      <c r="F21" s="93"/>
      <c r="G21" s="94">
        <v>0.04</v>
      </c>
      <c r="H21" s="135">
        <f>+G21*E21</f>
        <v>35.200000000000003</v>
      </c>
      <c r="I21" s="100"/>
      <c r="J21" s="80"/>
      <c r="K21" s="80"/>
      <c r="L21" s="80"/>
      <c r="M21" s="80"/>
      <c r="N21" s="80"/>
      <c r="O21" s="80"/>
      <c r="P21" s="80"/>
    </row>
    <row r="22" spans="1:16" s="89" customFormat="1">
      <c r="A22" s="101"/>
      <c r="B22" s="101"/>
      <c r="C22" s="102"/>
      <c r="D22" s="103"/>
      <c r="E22" s="104"/>
      <c r="F22" s="104"/>
      <c r="G22" s="105"/>
      <c r="H22" s="106"/>
      <c r="J22" s="80"/>
      <c r="K22" s="80"/>
      <c r="L22" s="80"/>
      <c r="M22" s="80"/>
      <c r="N22" s="80"/>
      <c r="O22" s="80"/>
      <c r="P22" s="80"/>
    </row>
    <row r="23" spans="1:16" s="89" customFormat="1">
      <c r="A23" s="80"/>
      <c r="B23" s="80"/>
      <c r="C23" s="80"/>
      <c r="D23" s="82"/>
      <c r="E23" s="80"/>
      <c r="F23" s="80"/>
      <c r="G23" s="80"/>
      <c r="H23" s="80"/>
      <c r="I23" s="100"/>
      <c r="J23" s="80"/>
      <c r="K23" s="80"/>
      <c r="L23" s="80"/>
      <c r="M23" s="80"/>
      <c r="N23" s="80"/>
      <c r="O23" s="80"/>
      <c r="P23" s="80"/>
    </row>
  </sheetData>
  <printOptions horizontalCentered="1"/>
  <pageMargins left="0.11811023622047245" right="0.70866141732283472" top="0.78740157480314965" bottom="0.19685039370078741" header="0.51181102362204722" footer="0.11811023622047245"/>
  <pageSetup paperSize="9" scale="84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73"/>
  <sheetViews>
    <sheetView view="pageBreakPreview" zoomScale="110" zoomScaleNormal="100" zoomScaleSheetLayoutView="110" workbookViewId="0">
      <selection activeCell="D85" sqref="D85"/>
    </sheetView>
  </sheetViews>
  <sheetFormatPr defaultRowHeight="14.25" customHeight="1"/>
  <cols>
    <col min="1" max="1" width="3.140625" style="136" customWidth="1"/>
    <col min="2" max="2" width="3.42578125" style="136" customWidth="1"/>
    <col min="3" max="3" width="39.140625" style="137" customWidth="1"/>
    <col min="4" max="4" width="12" style="138" bestFit="1" customWidth="1"/>
    <col min="5" max="5" width="12" style="138" customWidth="1"/>
    <col min="6" max="6" width="10.7109375" style="139" customWidth="1"/>
    <col min="7" max="8" width="10.7109375" style="140" customWidth="1"/>
    <col min="9" max="248" width="9.140625" style="137"/>
    <col min="249" max="249" width="3.140625" style="137" customWidth="1"/>
    <col min="250" max="250" width="3.42578125" style="137" customWidth="1"/>
    <col min="251" max="251" width="39.140625" style="137" customWidth="1"/>
    <col min="252" max="252" width="14" style="137" customWidth="1"/>
    <col min="253" max="253" width="13.28515625" style="137" customWidth="1"/>
    <col min="254" max="257" width="12.42578125" style="137" customWidth="1"/>
    <col min="258" max="258" width="7.7109375" style="137" customWidth="1"/>
    <col min="259" max="259" width="9.140625" style="137"/>
    <col min="260" max="260" width="38.7109375" style="137" customWidth="1"/>
    <col min="261" max="504" width="9.140625" style="137"/>
    <col min="505" max="505" width="3.140625" style="137" customWidth="1"/>
    <col min="506" max="506" width="3.42578125" style="137" customWidth="1"/>
    <col min="507" max="507" width="39.140625" style="137" customWidth="1"/>
    <col min="508" max="508" width="14" style="137" customWidth="1"/>
    <col min="509" max="509" width="13.28515625" style="137" customWidth="1"/>
    <col min="510" max="513" width="12.42578125" style="137" customWidth="1"/>
    <col min="514" max="514" width="7.7109375" style="137" customWidth="1"/>
    <col min="515" max="515" width="9.140625" style="137"/>
    <col min="516" max="516" width="38.7109375" style="137" customWidth="1"/>
    <col min="517" max="760" width="9.140625" style="137"/>
    <col min="761" max="761" width="3.140625" style="137" customWidth="1"/>
    <col min="762" max="762" width="3.42578125" style="137" customWidth="1"/>
    <col min="763" max="763" width="39.140625" style="137" customWidth="1"/>
    <col min="764" max="764" width="14" style="137" customWidth="1"/>
    <col min="765" max="765" width="13.28515625" style="137" customWidth="1"/>
    <col min="766" max="769" width="12.42578125" style="137" customWidth="1"/>
    <col min="770" max="770" width="7.7109375" style="137" customWidth="1"/>
    <col min="771" max="771" width="9.140625" style="137"/>
    <col min="772" max="772" width="38.7109375" style="137" customWidth="1"/>
    <col min="773" max="1016" width="9.140625" style="137"/>
    <col min="1017" max="1017" width="3.140625" style="137" customWidth="1"/>
    <col min="1018" max="1018" width="3.42578125" style="137" customWidth="1"/>
    <col min="1019" max="1019" width="39.140625" style="137" customWidth="1"/>
    <col min="1020" max="1020" width="14" style="137" customWidth="1"/>
    <col min="1021" max="1021" width="13.28515625" style="137" customWidth="1"/>
    <col min="1022" max="1025" width="12.42578125" style="137" customWidth="1"/>
    <col min="1026" max="1026" width="7.7109375" style="137" customWidth="1"/>
    <col min="1027" max="1027" width="9.140625" style="137"/>
    <col min="1028" max="1028" width="38.7109375" style="137" customWidth="1"/>
    <col min="1029" max="1272" width="9.140625" style="137"/>
    <col min="1273" max="1273" width="3.140625" style="137" customWidth="1"/>
    <col min="1274" max="1274" width="3.42578125" style="137" customWidth="1"/>
    <col min="1275" max="1275" width="39.140625" style="137" customWidth="1"/>
    <col min="1276" max="1276" width="14" style="137" customWidth="1"/>
    <col min="1277" max="1277" width="13.28515625" style="137" customWidth="1"/>
    <col min="1278" max="1281" width="12.42578125" style="137" customWidth="1"/>
    <col min="1282" max="1282" width="7.7109375" style="137" customWidth="1"/>
    <col min="1283" max="1283" width="9.140625" style="137"/>
    <col min="1284" max="1284" width="38.7109375" style="137" customWidth="1"/>
    <col min="1285" max="1528" width="9.140625" style="137"/>
    <col min="1529" max="1529" width="3.140625" style="137" customWidth="1"/>
    <col min="1530" max="1530" width="3.42578125" style="137" customWidth="1"/>
    <col min="1531" max="1531" width="39.140625" style="137" customWidth="1"/>
    <col min="1532" max="1532" width="14" style="137" customWidth="1"/>
    <col min="1533" max="1533" width="13.28515625" style="137" customWidth="1"/>
    <col min="1534" max="1537" width="12.42578125" style="137" customWidth="1"/>
    <col min="1538" max="1538" width="7.7109375" style="137" customWidth="1"/>
    <col min="1539" max="1539" width="9.140625" style="137"/>
    <col min="1540" max="1540" width="38.7109375" style="137" customWidth="1"/>
    <col min="1541" max="1784" width="9.140625" style="137"/>
    <col min="1785" max="1785" width="3.140625" style="137" customWidth="1"/>
    <col min="1786" max="1786" width="3.42578125" style="137" customWidth="1"/>
    <col min="1787" max="1787" width="39.140625" style="137" customWidth="1"/>
    <col min="1788" max="1788" width="14" style="137" customWidth="1"/>
    <col min="1789" max="1789" width="13.28515625" style="137" customWidth="1"/>
    <col min="1790" max="1793" width="12.42578125" style="137" customWidth="1"/>
    <col min="1794" max="1794" width="7.7109375" style="137" customWidth="1"/>
    <col min="1795" max="1795" width="9.140625" style="137"/>
    <col min="1796" max="1796" width="38.7109375" style="137" customWidth="1"/>
    <col min="1797" max="2040" width="9.140625" style="137"/>
    <col min="2041" max="2041" width="3.140625" style="137" customWidth="1"/>
    <col min="2042" max="2042" width="3.42578125" style="137" customWidth="1"/>
    <col min="2043" max="2043" width="39.140625" style="137" customWidth="1"/>
    <col min="2044" max="2044" width="14" style="137" customWidth="1"/>
    <col min="2045" max="2045" width="13.28515625" style="137" customWidth="1"/>
    <col min="2046" max="2049" width="12.42578125" style="137" customWidth="1"/>
    <col min="2050" max="2050" width="7.7109375" style="137" customWidth="1"/>
    <col min="2051" max="2051" width="9.140625" style="137"/>
    <col min="2052" max="2052" width="38.7109375" style="137" customWidth="1"/>
    <col min="2053" max="2296" width="9.140625" style="137"/>
    <col min="2297" max="2297" width="3.140625" style="137" customWidth="1"/>
    <col min="2298" max="2298" width="3.42578125" style="137" customWidth="1"/>
    <col min="2299" max="2299" width="39.140625" style="137" customWidth="1"/>
    <col min="2300" max="2300" width="14" style="137" customWidth="1"/>
    <col min="2301" max="2301" width="13.28515625" style="137" customWidth="1"/>
    <col min="2302" max="2305" width="12.42578125" style="137" customWidth="1"/>
    <col min="2306" max="2306" width="7.7109375" style="137" customWidth="1"/>
    <col min="2307" max="2307" width="9.140625" style="137"/>
    <col min="2308" max="2308" width="38.7109375" style="137" customWidth="1"/>
    <col min="2309" max="2552" width="9.140625" style="137"/>
    <col min="2553" max="2553" width="3.140625" style="137" customWidth="1"/>
    <col min="2554" max="2554" width="3.42578125" style="137" customWidth="1"/>
    <col min="2555" max="2555" width="39.140625" style="137" customWidth="1"/>
    <col min="2556" max="2556" width="14" style="137" customWidth="1"/>
    <col min="2557" max="2557" width="13.28515625" style="137" customWidth="1"/>
    <col min="2558" max="2561" width="12.42578125" style="137" customWidth="1"/>
    <col min="2562" max="2562" width="7.7109375" style="137" customWidth="1"/>
    <col min="2563" max="2563" width="9.140625" style="137"/>
    <col min="2564" max="2564" width="38.7109375" style="137" customWidth="1"/>
    <col min="2565" max="2808" width="9.140625" style="137"/>
    <col min="2809" max="2809" width="3.140625" style="137" customWidth="1"/>
    <col min="2810" max="2810" width="3.42578125" style="137" customWidth="1"/>
    <col min="2811" max="2811" width="39.140625" style="137" customWidth="1"/>
    <col min="2812" max="2812" width="14" style="137" customWidth="1"/>
    <col min="2813" max="2813" width="13.28515625" style="137" customWidth="1"/>
    <col min="2814" max="2817" width="12.42578125" style="137" customWidth="1"/>
    <col min="2818" max="2818" width="7.7109375" style="137" customWidth="1"/>
    <col min="2819" max="2819" width="9.140625" style="137"/>
    <col min="2820" max="2820" width="38.7109375" style="137" customWidth="1"/>
    <col min="2821" max="3064" width="9.140625" style="137"/>
    <col min="3065" max="3065" width="3.140625" style="137" customWidth="1"/>
    <col min="3066" max="3066" width="3.42578125" style="137" customWidth="1"/>
    <col min="3067" max="3067" width="39.140625" style="137" customWidth="1"/>
    <col min="3068" max="3068" width="14" style="137" customWidth="1"/>
    <col min="3069" max="3069" width="13.28515625" style="137" customWidth="1"/>
    <col min="3070" max="3073" width="12.42578125" style="137" customWidth="1"/>
    <col min="3074" max="3074" width="7.7109375" style="137" customWidth="1"/>
    <col min="3075" max="3075" width="9.140625" style="137"/>
    <col min="3076" max="3076" width="38.7109375" style="137" customWidth="1"/>
    <col min="3077" max="3320" width="9.140625" style="137"/>
    <col min="3321" max="3321" width="3.140625" style="137" customWidth="1"/>
    <col min="3322" max="3322" width="3.42578125" style="137" customWidth="1"/>
    <col min="3323" max="3323" width="39.140625" style="137" customWidth="1"/>
    <col min="3324" max="3324" width="14" style="137" customWidth="1"/>
    <col min="3325" max="3325" width="13.28515625" style="137" customWidth="1"/>
    <col min="3326" max="3329" width="12.42578125" style="137" customWidth="1"/>
    <col min="3330" max="3330" width="7.7109375" style="137" customWidth="1"/>
    <col min="3331" max="3331" width="9.140625" style="137"/>
    <col min="3332" max="3332" width="38.7109375" style="137" customWidth="1"/>
    <col min="3333" max="3576" width="9.140625" style="137"/>
    <col min="3577" max="3577" width="3.140625" style="137" customWidth="1"/>
    <col min="3578" max="3578" width="3.42578125" style="137" customWidth="1"/>
    <col min="3579" max="3579" width="39.140625" style="137" customWidth="1"/>
    <col min="3580" max="3580" width="14" style="137" customWidth="1"/>
    <col min="3581" max="3581" width="13.28515625" style="137" customWidth="1"/>
    <col min="3582" max="3585" width="12.42578125" style="137" customWidth="1"/>
    <col min="3586" max="3586" width="7.7109375" style="137" customWidth="1"/>
    <col min="3587" max="3587" width="9.140625" style="137"/>
    <col min="3588" max="3588" width="38.7109375" style="137" customWidth="1"/>
    <col min="3589" max="3832" width="9.140625" style="137"/>
    <col min="3833" max="3833" width="3.140625" style="137" customWidth="1"/>
    <col min="3834" max="3834" width="3.42578125" style="137" customWidth="1"/>
    <col min="3835" max="3835" width="39.140625" style="137" customWidth="1"/>
    <col min="3836" max="3836" width="14" style="137" customWidth="1"/>
    <col min="3837" max="3837" width="13.28515625" style="137" customWidth="1"/>
    <col min="3838" max="3841" width="12.42578125" style="137" customWidth="1"/>
    <col min="3842" max="3842" width="7.7109375" style="137" customWidth="1"/>
    <col min="3843" max="3843" width="9.140625" style="137"/>
    <col min="3844" max="3844" width="38.7109375" style="137" customWidth="1"/>
    <col min="3845" max="4088" width="9.140625" style="137"/>
    <col min="4089" max="4089" width="3.140625" style="137" customWidth="1"/>
    <col min="4090" max="4090" width="3.42578125" style="137" customWidth="1"/>
    <col min="4091" max="4091" width="39.140625" style="137" customWidth="1"/>
    <col min="4092" max="4092" width="14" style="137" customWidth="1"/>
    <col min="4093" max="4093" width="13.28515625" style="137" customWidth="1"/>
    <col min="4094" max="4097" width="12.42578125" style="137" customWidth="1"/>
    <col min="4098" max="4098" width="7.7109375" style="137" customWidth="1"/>
    <col min="4099" max="4099" width="9.140625" style="137"/>
    <col min="4100" max="4100" width="38.7109375" style="137" customWidth="1"/>
    <col min="4101" max="4344" width="9.140625" style="137"/>
    <col min="4345" max="4345" width="3.140625" style="137" customWidth="1"/>
    <col min="4346" max="4346" width="3.42578125" style="137" customWidth="1"/>
    <col min="4347" max="4347" width="39.140625" style="137" customWidth="1"/>
    <col min="4348" max="4348" width="14" style="137" customWidth="1"/>
    <col min="4349" max="4349" width="13.28515625" style="137" customWidth="1"/>
    <col min="4350" max="4353" width="12.42578125" style="137" customWidth="1"/>
    <col min="4354" max="4354" width="7.7109375" style="137" customWidth="1"/>
    <col min="4355" max="4355" width="9.140625" style="137"/>
    <col min="4356" max="4356" width="38.7109375" style="137" customWidth="1"/>
    <col min="4357" max="4600" width="9.140625" style="137"/>
    <col min="4601" max="4601" width="3.140625" style="137" customWidth="1"/>
    <col min="4602" max="4602" width="3.42578125" style="137" customWidth="1"/>
    <col min="4603" max="4603" width="39.140625" style="137" customWidth="1"/>
    <col min="4604" max="4604" width="14" style="137" customWidth="1"/>
    <col min="4605" max="4605" width="13.28515625" style="137" customWidth="1"/>
    <col min="4606" max="4609" width="12.42578125" style="137" customWidth="1"/>
    <col min="4610" max="4610" width="7.7109375" style="137" customWidth="1"/>
    <col min="4611" max="4611" width="9.140625" style="137"/>
    <col min="4612" max="4612" width="38.7109375" style="137" customWidth="1"/>
    <col min="4613" max="4856" width="9.140625" style="137"/>
    <col min="4857" max="4857" width="3.140625" style="137" customWidth="1"/>
    <col min="4858" max="4858" width="3.42578125" style="137" customWidth="1"/>
    <col min="4859" max="4859" width="39.140625" style="137" customWidth="1"/>
    <col min="4860" max="4860" width="14" style="137" customWidth="1"/>
    <col min="4861" max="4861" width="13.28515625" style="137" customWidth="1"/>
    <col min="4862" max="4865" width="12.42578125" style="137" customWidth="1"/>
    <col min="4866" max="4866" width="7.7109375" style="137" customWidth="1"/>
    <col min="4867" max="4867" width="9.140625" style="137"/>
    <col min="4868" max="4868" width="38.7109375" style="137" customWidth="1"/>
    <col min="4869" max="5112" width="9.140625" style="137"/>
    <col min="5113" max="5113" width="3.140625" style="137" customWidth="1"/>
    <col min="5114" max="5114" width="3.42578125" style="137" customWidth="1"/>
    <col min="5115" max="5115" width="39.140625" style="137" customWidth="1"/>
    <col min="5116" max="5116" width="14" style="137" customWidth="1"/>
    <col min="5117" max="5117" width="13.28515625" style="137" customWidth="1"/>
    <col min="5118" max="5121" width="12.42578125" style="137" customWidth="1"/>
    <col min="5122" max="5122" width="7.7109375" style="137" customWidth="1"/>
    <col min="5123" max="5123" width="9.140625" style="137"/>
    <col min="5124" max="5124" width="38.7109375" style="137" customWidth="1"/>
    <col min="5125" max="5368" width="9.140625" style="137"/>
    <col min="5369" max="5369" width="3.140625" style="137" customWidth="1"/>
    <col min="5370" max="5370" width="3.42578125" style="137" customWidth="1"/>
    <col min="5371" max="5371" width="39.140625" style="137" customWidth="1"/>
    <col min="5372" max="5372" width="14" style="137" customWidth="1"/>
    <col min="5373" max="5373" width="13.28515625" style="137" customWidth="1"/>
    <col min="5374" max="5377" width="12.42578125" style="137" customWidth="1"/>
    <col min="5378" max="5378" width="7.7109375" style="137" customWidth="1"/>
    <col min="5379" max="5379" width="9.140625" style="137"/>
    <col min="5380" max="5380" width="38.7109375" style="137" customWidth="1"/>
    <col min="5381" max="5624" width="9.140625" style="137"/>
    <col min="5625" max="5625" width="3.140625" style="137" customWidth="1"/>
    <col min="5626" max="5626" width="3.42578125" style="137" customWidth="1"/>
    <col min="5627" max="5627" width="39.140625" style="137" customWidth="1"/>
    <col min="5628" max="5628" width="14" style="137" customWidth="1"/>
    <col min="5629" max="5629" width="13.28515625" style="137" customWidth="1"/>
    <col min="5630" max="5633" width="12.42578125" style="137" customWidth="1"/>
    <col min="5634" max="5634" width="7.7109375" style="137" customWidth="1"/>
    <col min="5635" max="5635" width="9.140625" style="137"/>
    <col min="5636" max="5636" width="38.7109375" style="137" customWidth="1"/>
    <col min="5637" max="5880" width="9.140625" style="137"/>
    <col min="5881" max="5881" width="3.140625" style="137" customWidth="1"/>
    <col min="5882" max="5882" width="3.42578125" style="137" customWidth="1"/>
    <col min="5883" max="5883" width="39.140625" style="137" customWidth="1"/>
    <col min="5884" max="5884" width="14" style="137" customWidth="1"/>
    <col min="5885" max="5885" width="13.28515625" style="137" customWidth="1"/>
    <col min="5886" max="5889" width="12.42578125" style="137" customWidth="1"/>
    <col min="5890" max="5890" width="7.7109375" style="137" customWidth="1"/>
    <col min="5891" max="5891" width="9.140625" style="137"/>
    <col min="5892" max="5892" width="38.7109375" style="137" customWidth="1"/>
    <col min="5893" max="6136" width="9.140625" style="137"/>
    <col min="6137" max="6137" width="3.140625" style="137" customWidth="1"/>
    <col min="6138" max="6138" width="3.42578125" style="137" customWidth="1"/>
    <col min="6139" max="6139" width="39.140625" style="137" customWidth="1"/>
    <col min="6140" max="6140" width="14" style="137" customWidth="1"/>
    <col min="6141" max="6141" width="13.28515625" style="137" customWidth="1"/>
    <col min="6142" max="6145" width="12.42578125" style="137" customWidth="1"/>
    <col min="6146" max="6146" width="7.7109375" style="137" customWidth="1"/>
    <col min="6147" max="6147" width="9.140625" style="137"/>
    <col min="6148" max="6148" width="38.7109375" style="137" customWidth="1"/>
    <col min="6149" max="6392" width="9.140625" style="137"/>
    <col min="6393" max="6393" width="3.140625" style="137" customWidth="1"/>
    <col min="6394" max="6394" width="3.42578125" style="137" customWidth="1"/>
    <col min="6395" max="6395" width="39.140625" style="137" customWidth="1"/>
    <col min="6396" max="6396" width="14" style="137" customWidth="1"/>
    <col min="6397" max="6397" width="13.28515625" style="137" customWidth="1"/>
    <col min="6398" max="6401" width="12.42578125" style="137" customWidth="1"/>
    <col min="6402" max="6402" width="7.7109375" style="137" customWidth="1"/>
    <col min="6403" max="6403" width="9.140625" style="137"/>
    <col min="6404" max="6404" width="38.7109375" style="137" customWidth="1"/>
    <col min="6405" max="6648" width="9.140625" style="137"/>
    <col min="6649" max="6649" width="3.140625" style="137" customWidth="1"/>
    <col min="6650" max="6650" width="3.42578125" style="137" customWidth="1"/>
    <col min="6651" max="6651" width="39.140625" style="137" customWidth="1"/>
    <col min="6652" max="6652" width="14" style="137" customWidth="1"/>
    <col min="6653" max="6653" width="13.28515625" style="137" customWidth="1"/>
    <col min="6654" max="6657" width="12.42578125" style="137" customWidth="1"/>
    <col min="6658" max="6658" width="7.7109375" style="137" customWidth="1"/>
    <col min="6659" max="6659" width="9.140625" style="137"/>
    <col min="6660" max="6660" width="38.7109375" style="137" customWidth="1"/>
    <col min="6661" max="6904" width="9.140625" style="137"/>
    <col min="6905" max="6905" width="3.140625" style="137" customWidth="1"/>
    <col min="6906" max="6906" width="3.42578125" style="137" customWidth="1"/>
    <col min="6907" max="6907" width="39.140625" style="137" customWidth="1"/>
    <col min="6908" max="6908" width="14" style="137" customWidth="1"/>
    <col min="6909" max="6909" width="13.28515625" style="137" customWidth="1"/>
    <col min="6910" max="6913" width="12.42578125" style="137" customWidth="1"/>
    <col min="6914" max="6914" width="7.7109375" style="137" customWidth="1"/>
    <col min="6915" max="6915" width="9.140625" style="137"/>
    <col min="6916" max="6916" width="38.7109375" style="137" customWidth="1"/>
    <col min="6917" max="7160" width="9.140625" style="137"/>
    <col min="7161" max="7161" width="3.140625" style="137" customWidth="1"/>
    <col min="7162" max="7162" width="3.42578125" style="137" customWidth="1"/>
    <col min="7163" max="7163" width="39.140625" style="137" customWidth="1"/>
    <col min="7164" max="7164" width="14" style="137" customWidth="1"/>
    <col min="7165" max="7165" width="13.28515625" style="137" customWidth="1"/>
    <col min="7166" max="7169" width="12.42578125" style="137" customWidth="1"/>
    <col min="7170" max="7170" width="7.7109375" style="137" customWidth="1"/>
    <col min="7171" max="7171" width="9.140625" style="137"/>
    <col min="7172" max="7172" width="38.7109375" style="137" customWidth="1"/>
    <col min="7173" max="7416" width="9.140625" style="137"/>
    <col min="7417" max="7417" width="3.140625" style="137" customWidth="1"/>
    <col min="7418" max="7418" width="3.42578125" style="137" customWidth="1"/>
    <col min="7419" max="7419" width="39.140625" style="137" customWidth="1"/>
    <col min="7420" max="7420" width="14" style="137" customWidth="1"/>
    <col min="7421" max="7421" width="13.28515625" style="137" customWidth="1"/>
    <col min="7422" max="7425" width="12.42578125" style="137" customWidth="1"/>
    <col min="7426" max="7426" width="7.7109375" style="137" customWidth="1"/>
    <col min="7427" max="7427" width="9.140625" style="137"/>
    <col min="7428" max="7428" width="38.7109375" style="137" customWidth="1"/>
    <col min="7429" max="7672" width="9.140625" style="137"/>
    <col min="7673" max="7673" width="3.140625" style="137" customWidth="1"/>
    <col min="7674" max="7674" width="3.42578125" style="137" customWidth="1"/>
    <col min="7675" max="7675" width="39.140625" style="137" customWidth="1"/>
    <col min="7676" max="7676" width="14" style="137" customWidth="1"/>
    <col min="7677" max="7677" width="13.28515625" style="137" customWidth="1"/>
    <col min="7678" max="7681" width="12.42578125" style="137" customWidth="1"/>
    <col min="7682" max="7682" width="7.7109375" style="137" customWidth="1"/>
    <col min="7683" max="7683" width="9.140625" style="137"/>
    <col min="7684" max="7684" width="38.7109375" style="137" customWidth="1"/>
    <col min="7685" max="7928" width="9.140625" style="137"/>
    <col min="7929" max="7929" width="3.140625" style="137" customWidth="1"/>
    <col min="7930" max="7930" width="3.42578125" style="137" customWidth="1"/>
    <col min="7931" max="7931" width="39.140625" style="137" customWidth="1"/>
    <col min="7932" max="7932" width="14" style="137" customWidth="1"/>
    <col min="7933" max="7933" width="13.28515625" style="137" customWidth="1"/>
    <col min="7934" max="7937" width="12.42578125" style="137" customWidth="1"/>
    <col min="7938" max="7938" width="7.7109375" style="137" customWidth="1"/>
    <col min="7939" max="7939" width="9.140625" style="137"/>
    <col min="7940" max="7940" width="38.7109375" style="137" customWidth="1"/>
    <col min="7941" max="8184" width="9.140625" style="137"/>
    <col min="8185" max="8185" width="3.140625" style="137" customWidth="1"/>
    <col min="8186" max="8186" width="3.42578125" style="137" customWidth="1"/>
    <col min="8187" max="8187" width="39.140625" style="137" customWidth="1"/>
    <col min="8188" max="8188" width="14" style="137" customWidth="1"/>
    <col min="8189" max="8189" width="13.28515625" style="137" customWidth="1"/>
    <col min="8190" max="8193" width="12.42578125" style="137" customWidth="1"/>
    <col min="8194" max="8194" width="7.7109375" style="137" customWidth="1"/>
    <col min="8195" max="8195" width="9.140625" style="137"/>
    <col min="8196" max="8196" width="38.7109375" style="137" customWidth="1"/>
    <col min="8197" max="8440" width="9.140625" style="137"/>
    <col min="8441" max="8441" width="3.140625" style="137" customWidth="1"/>
    <col min="8442" max="8442" width="3.42578125" style="137" customWidth="1"/>
    <col min="8443" max="8443" width="39.140625" style="137" customWidth="1"/>
    <col min="8444" max="8444" width="14" style="137" customWidth="1"/>
    <col min="8445" max="8445" width="13.28515625" style="137" customWidth="1"/>
    <col min="8446" max="8449" width="12.42578125" style="137" customWidth="1"/>
    <col min="8450" max="8450" width="7.7109375" style="137" customWidth="1"/>
    <col min="8451" max="8451" width="9.140625" style="137"/>
    <col min="8452" max="8452" width="38.7109375" style="137" customWidth="1"/>
    <col min="8453" max="8696" width="9.140625" style="137"/>
    <col min="8697" max="8697" width="3.140625" style="137" customWidth="1"/>
    <col min="8698" max="8698" width="3.42578125" style="137" customWidth="1"/>
    <col min="8699" max="8699" width="39.140625" style="137" customWidth="1"/>
    <col min="8700" max="8700" width="14" style="137" customWidth="1"/>
    <col min="8701" max="8701" width="13.28515625" style="137" customWidth="1"/>
    <col min="8702" max="8705" width="12.42578125" style="137" customWidth="1"/>
    <col min="8706" max="8706" width="7.7109375" style="137" customWidth="1"/>
    <col min="8707" max="8707" width="9.140625" style="137"/>
    <col min="8708" max="8708" width="38.7109375" style="137" customWidth="1"/>
    <col min="8709" max="8952" width="9.140625" style="137"/>
    <col min="8953" max="8953" width="3.140625" style="137" customWidth="1"/>
    <col min="8954" max="8954" width="3.42578125" style="137" customWidth="1"/>
    <col min="8955" max="8955" width="39.140625" style="137" customWidth="1"/>
    <col min="8956" max="8956" width="14" style="137" customWidth="1"/>
    <col min="8957" max="8957" width="13.28515625" style="137" customWidth="1"/>
    <col min="8958" max="8961" width="12.42578125" style="137" customWidth="1"/>
    <col min="8962" max="8962" width="7.7109375" style="137" customWidth="1"/>
    <col min="8963" max="8963" width="9.140625" style="137"/>
    <col min="8964" max="8964" width="38.7109375" style="137" customWidth="1"/>
    <col min="8965" max="9208" width="9.140625" style="137"/>
    <col min="9209" max="9209" width="3.140625" style="137" customWidth="1"/>
    <col min="9210" max="9210" width="3.42578125" style="137" customWidth="1"/>
    <col min="9211" max="9211" width="39.140625" style="137" customWidth="1"/>
    <col min="9212" max="9212" width="14" style="137" customWidth="1"/>
    <col min="9213" max="9213" width="13.28515625" style="137" customWidth="1"/>
    <col min="9214" max="9217" width="12.42578125" style="137" customWidth="1"/>
    <col min="9218" max="9218" width="7.7109375" style="137" customWidth="1"/>
    <col min="9219" max="9219" width="9.140625" style="137"/>
    <col min="9220" max="9220" width="38.7109375" style="137" customWidth="1"/>
    <col min="9221" max="9464" width="9.140625" style="137"/>
    <col min="9465" max="9465" width="3.140625" style="137" customWidth="1"/>
    <col min="9466" max="9466" width="3.42578125" style="137" customWidth="1"/>
    <col min="9467" max="9467" width="39.140625" style="137" customWidth="1"/>
    <col min="9468" max="9468" width="14" style="137" customWidth="1"/>
    <col min="9469" max="9469" width="13.28515625" style="137" customWidth="1"/>
    <col min="9470" max="9473" width="12.42578125" style="137" customWidth="1"/>
    <col min="9474" max="9474" width="7.7109375" style="137" customWidth="1"/>
    <col min="9475" max="9475" width="9.140625" style="137"/>
    <col min="9476" max="9476" width="38.7109375" style="137" customWidth="1"/>
    <col min="9477" max="9720" width="9.140625" style="137"/>
    <col min="9721" max="9721" width="3.140625" style="137" customWidth="1"/>
    <col min="9722" max="9722" width="3.42578125" style="137" customWidth="1"/>
    <col min="9723" max="9723" width="39.140625" style="137" customWidth="1"/>
    <col min="9724" max="9724" width="14" style="137" customWidth="1"/>
    <col min="9725" max="9725" width="13.28515625" style="137" customWidth="1"/>
    <col min="9726" max="9729" width="12.42578125" style="137" customWidth="1"/>
    <col min="9730" max="9730" width="7.7109375" style="137" customWidth="1"/>
    <col min="9731" max="9731" width="9.140625" style="137"/>
    <col min="9732" max="9732" width="38.7109375" style="137" customWidth="1"/>
    <col min="9733" max="9976" width="9.140625" style="137"/>
    <col min="9977" max="9977" width="3.140625" style="137" customWidth="1"/>
    <col min="9978" max="9978" width="3.42578125" style="137" customWidth="1"/>
    <col min="9979" max="9979" width="39.140625" style="137" customWidth="1"/>
    <col min="9980" max="9980" width="14" style="137" customWidth="1"/>
    <col min="9981" max="9981" width="13.28515625" style="137" customWidth="1"/>
    <col min="9982" max="9985" width="12.42578125" style="137" customWidth="1"/>
    <col min="9986" max="9986" width="7.7109375" style="137" customWidth="1"/>
    <col min="9987" max="9987" width="9.140625" style="137"/>
    <col min="9988" max="9988" width="38.7109375" style="137" customWidth="1"/>
    <col min="9989" max="10232" width="9.140625" style="137"/>
    <col min="10233" max="10233" width="3.140625" style="137" customWidth="1"/>
    <col min="10234" max="10234" width="3.42578125" style="137" customWidth="1"/>
    <col min="10235" max="10235" width="39.140625" style="137" customWidth="1"/>
    <col min="10236" max="10236" width="14" style="137" customWidth="1"/>
    <col min="10237" max="10237" width="13.28515625" style="137" customWidth="1"/>
    <col min="10238" max="10241" width="12.42578125" style="137" customWidth="1"/>
    <col min="10242" max="10242" width="7.7109375" style="137" customWidth="1"/>
    <col min="10243" max="10243" width="9.140625" style="137"/>
    <col min="10244" max="10244" width="38.7109375" style="137" customWidth="1"/>
    <col min="10245" max="10488" width="9.140625" style="137"/>
    <col min="10489" max="10489" width="3.140625" style="137" customWidth="1"/>
    <col min="10490" max="10490" width="3.42578125" style="137" customWidth="1"/>
    <col min="10491" max="10491" width="39.140625" style="137" customWidth="1"/>
    <col min="10492" max="10492" width="14" style="137" customWidth="1"/>
    <col min="10493" max="10493" width="13.28515625" style="137" customWidth="1"/>
    <col min="10494" max="10497" width="12.42578125" style="137" customWidth="1"/>
    <col min="10498" max="10498" width="7.7109375" style="137" customWidth="1"/>
    <col min="10499" max="10499" width="9.140625" style="137"/>
    <col min="10500" max="10500" width="38.7109375" style="137" customWidth="1"/>
    <col min="10501" max="10744" width="9.140625" style="137"/>
    <col min="10745" max="10745" width="3.140625" style="137" customWidth="1"/>
    <col min="10746" max="10746" width="3.42578125" style="137" customWidth="1"/>
    <col min="10747" max="10747" width="39.140625" style="137" customWidth="1"/>
    <col min="10748" max="10748" width="14" style="137" customWidth="1"/>
    <col min="10749" max="10749" width="13.28515625" style="137" customWidth="1"/>
    <col min="10750" max="10753" width="12.42578125" style="137" customWidth="1"/>
    <col min="10754" max="10754" width="7.7109375" style="137" customWidth="1"/>
    <col min="10755" max="10755" width="9.140625" style="137"/>
    <col min="10756" max="10756" width="38.7109375" style="137" customWidth="1"/>
    <col min="10757" max="11000" width="9.140625" style="137"/>
    <col min="11001" max="11001" width="3.140625" style="137" customWidth="1"/>
    <col min="11002" max="11002" width="3.42578125" style="137" customWidth="1"/>
    <col min="11003" max="11003" width="39.140625" style="137" customWidth="1"/>
    <col min="11004" max="11004" width="14" style="137" customWidth="1"/>
    <col min="11005" max="11005" width="13.28515625" style="137" customWidth="1"/>
    <col min="11006" max="11009" width="12.42578125" style="137" customWidth="1"/>
    <col min="11010" max="11010" width="7.7109375" style="137" customWidth="1"/>
    <col min="11011" max="11011" width="9.140625" style="137"/>
    <col min="11012" max="11012" width="38.7109375" style="137" customWidth="1"/>
    <col min="11013" max="11256" width="9.140625" style="137"/>
    <col min="11257" max="11257" width="3.140625" style="137" customWidth="1"/>
    <col min="11258" max="11258" width="3.42578125" style="137" customWidth="1"/>
    <col min="11259" max="11259" width="39.140625" style="137" customWidth="1"/>
    <col min="11260" max="11260" width="14" style="137" customWidth="1"/>
    <col min="11261" max="11261" width="13.28515625" style="137" customWidth="1"/>
    <col min="11262" max="11265" width="12.42578125" style="137" customWidth="1"/>
    <col min="11266" max="11266" width="7.7109375" style="137" customWidth="1"/>
    <col min="11267" max="11267" width="9.140625" style="137"/>
    <col min="11268" max="11268" width="38.7109375" style="137" customWidth="1"/>
    <col min="11269" max="11512" width="9.140625" style="137"/>
    <col min="11513" max="11513" width="3.140625" style="137" customWidth="1"/>
    <col min="11514" max="11514" width="3.42578125" style="137" customWidth="1"/>
    <col min="11515" max="11515" width="39.140625" style="137" customWidth="1"/>
    <col min="11516" max="11516" width="14" style="137" customWidth="1"/>
    <col min="11517" max="11517" width="13.28515625" style="137" customWidth="1"/>
    <col min="11518" max="11521" width="12.42578125" style="137" customWidth="1"/>
    <col min="11522" max="11522" width="7.7109375" style="137" customWidth="1"/>
    <col min="11523" max="11523" width="9.140625" style="137"/>
    <col min="11524" max="11524" width="38.7109375" style="137" customWidth="1"/>
    <col min="11525" max="11768" width="9.140625" style="137"/>
    <col min="11769" max="11769" width="3.140625" style="137" customWidth="1"/>
    <col min="11770" max="11770" width="3.42578125" style="137" customWidth="1"/>
    <col min="11771" max="11771" width="39.140625" style="137" customWidth="1"/>
    <col min="11772" max="11772" width="14" style="137" customWidth="1"/>
    <col min="11773" max="11773" width="13.28515625" style="137" customWidth="1"/>
    <col min="11774" max="11777" width="12.42578125" style="137" customWidth="1"/>
    <col min="11778" max="11778" width="7.7109375" style="137" customWidth="1"/>
    <col min="11779" max="11779" width="9.140625" style="137"/>
    <col min="11780" max="11780" width="38.7109375" style="137" customWidth="1"/>
    <col min="11781" max="12024" width="9.140625" style="137"/>
    <col min="12025" max="12025" width="3.140625" style="137" customWidth="1"/>
    <col min="12026" max="12026" width="3.42578125" style="137" customWidth="1"/>
    <col min="12027" max="12027" width="39.140625" style="137" customWidth="1"/>
    <col min="12028" max="12028" width="14" style="137" customWidth="1"/>
    <col min="12029" max="12029" width="13.28515625" style="137" customWidth="1"/>
    <col min="12030" max="12033" width="12.42578125" style="137" customWidth="1"/>
    <col min="12034" max="12034" width="7.7109375" style="137" customWidth="1"/>
    <col min="12035" max="12035" width="9.140625" style="137"/>
    <col min="12036" max="12036" width="38.7109375" style="137" customWidth="1"/>
    <col min="12037" max="12280" width="9.140625" style="137"/>
    <col min="12281" max="12281" width="3.140625" style="137" customWidth="1"/>
    <col min="12282" max="12282" width="3.42578125" style="137" customWidth="1"/>
    <col min="12283" max="12283" width="39.140625" style="137" customWidth="1"/>
    <col min="12284" max="12284" width="14" style="137" customWidth="1"/>
    <col min="12285" max="12285" width="13.28515625" style="137" customWidth="1"/>
    <col min="12286" max="12289" width="12.42578125" style="137" customWidth="1"/>
    <col min="12290" max="12290" width="7.7109375" style="137" customWidth="1"/>
    <col min="12291" max="12291" width="9.140625" style="137"/>
    <col min="12292" max="12292" width="38.7109375" style="137" customWidth="1"/>
    <col min="12293" max="12536" width="9.140625" style="137"/>
    <col min="12537" max="12537" width="3.140625" style="137" customWidth="1"/>
    <col min="12538" max="12538" width="3.42578125" style="137" customWidth="1"/>
    <col min="12539" max="12539" width="39.140625" style="137" customWidth="1"/>
    <col min="12540" max="12540" width="14" style="137" customWidth="1"/>
    <col min="12541" max="12541" width="13.28515625" style="137" customWidth="1"/>
    <col min="12542" max="12545" width="12.42578125" style="137" customWidth="1"/>
    <col min="12546" max="12546" width="7.7109375" style="137" customWidth="1"/>
    <col min="12547" max="12547" width="9.140625" style="137"/>
    <col min="12548" max="12548" width="38.7109375" style="137" customWidth="1"/>
    <col min="12549" max="12792" width="9.140625" style="137"/>
    <col min="12793" max="12793" width="3.140625" style="137" customWidth="1"/>
    <col min="12794" max="12794" width="3.42578125" style="137" customWidth="1"/>
    <col min="12795" max="12795" width="39.140625" style="137" customWidth="1"/>
    <col min="12796" max="12796" width="14" style="137" customWidth="1"/>
    <col min="12797" max="12797" width="13.28515625" style="137" customWidth="1"/>
    <col min="12798" max="12801" width="12.42578125" style="137" customWidth="1"/>
    <col min="12802" max="12802" width="7.7109375" style="137" customWidth="1"/>
    <col min="12803" max="12803" width="9.140625" style="137"/>
    <col min="12804" max="12804" width="38.7109375" style="137" customWidth="1"/>
    <col min="12805" max="13048" width="9.140625" style="137"/>
    <col min="13049" max="13049" width="3.140625" style="137" customWidth="1"/>
    <col min="13050" max="13050" width="3.42578125" style="137" customWidth="1"/>
    <col min="13051" max="13051" width="39.140625" style="137" customWidth="1"/>
    <col min="13052" max="13052" width="14" style="137" customWidth="1"/>
    <col min="13053" max="13053" width="13.28515625" style="137" customWidth="1"/>
    <col min="13054" max="13057" width="12.42578125" style="137" customWidth="1"/>
    <col min="13058" max="13058" width="7.7109375" style="137" customWidth="1"/>
    <col min="13059" max="13059" width="9.140625" style="137"/>
    <col min="13060" max="13060" width="38.7109375" style="137" customWidth="1"/>
    <col min="13061" max="13304" width="9.140625" style="137"/>
    <col min="13305" max="13305" width="3.140625" style="137" customWidth="1"/>
    <col min="13306" max="13306" width="3.42578125" style="137" customWidth="1"/>
    <col min="13307" max="13307" width="39.140625" style="137" customWidth="1"/>
    <col min="13308" max="13308" width="14" style="137" customWidth="1"/>
    <col min="13309" max="13309" width="13.28515625" style="137" customWidth="1"/>
    <col min="13310" max="13313" width="12.42578125" style="137" customWidth="1"/>
    <col min="13314" max="13314" width="7.7109375" style="137" customWidth="1"/>
    <col min="13315" max="13315" width="9.140625" style="137"/>
    <col min="13316" max="13316" width="38.7109375" style="137" customWidth="1"/>
    <col min="13317" max="13560" width="9.140625" style="137"/>
    <col min="13561" max="13561" width="3.140625" style="137" customWidth="1"/>
    <col min="13562" max="13562" width="3.42578125" style="137" customWidth="1"/>
    <col min="13563" max="13563" width="39.140625" style="137" customWidth="1"/>
    <col min="13564" max="13564" width="14" style="137" customWidth="1"/>
    <col min="13565" max="13565" width="13.28515625" style="137" customWidth="1"/>
    <col min="13566" max="13569" width="12.42578125" style="137" customWidth="1"/>
    <col min="13570" max="13570" width="7.7109375" style="137" customWidth="1"/>
    <col min="13571" max="13571" width="9.140625" style="137"/>
    <col min="13572" max="13572" width="38.7109375" style="137" customWidth="1"/>
    <col min="13573" max="13816" width="9.140625" style="137"/>
    <col min="13817" max="13817" width="3.140625" style="137" customWidth="1"/>
    <col min="13818" max="13818" width="3.42578125" style="137" customWidth="1"/>
    <col min="13819" max="13819" width="39.140625" style="137" customWidth="1"/>
    <col min="13820" max="13820" width="14" style="137" customWidth="1"/>
    <col min="13821" max="13821" width="13.28515625" style="137" customWidth="1"/>
    <col min="13822" max="13825" width="12.42578125" style="137" customWidth="1"/>
    <col min="13826" max="13826" width="7.7109375" style="137" customWidth="1"/>
    <col min="13827" max="13827" width="9.140625" style="137"/>
    <col min="13828" max="13828" width="38.7109375" style="137" customWidth="1"/>
    <col min="13829" max="14072" width="9.140625" style="137"/>
    <col min="14073" max="14073" width="3.140625" style="137" customWidth="1"/>
    <col min="14074" max="14074" width="3.42578125" style="137" customWidth="1"/>
    <col min="14075" max="14075" width="39.140625" style="137" customWidth="1"/>
    <col min="14076" max="14076" width="14" style="137" customWidth="1"/>
    <col min="14077" max="14077" width="13.28515625" style="137" customWidth="1"/>
    <col min="14078" max="14081" width="12.42578125" style="137" customWidth="1"/>
    <col min="14082" max="14082" width="7.7109375" style="137" customWidth="1"/>
    <col min="14083" max="14083" width="9.140625" style="137"/>
    <col min="14084" max="14084" width="38.7109375" style="137" customWidth="1"/>
    <col min="14085" max="14328" width="9.140625" style="137"/>
    <col min="14329" max="14329" width="3.140625" style="137" customWidth="1"/>
    <col min="14330" max="14330" width="3.42578125" style="137" customWidth="1"/>
    <col min="14331" max="14331" width="39.140625" style="137" customWidth="1"/>
    <col min="14332" max="14332" width="14" style="137" customWidth="1"/>
    <col min="14333" max="14333" width="13.28515625" style="137" customWidth="1"/>
    <col min="14334" max="14337" width="12.42578125" style="137" customWidth="1"/>
    <col min="14338" max="14338" width="7.7109375" style="137" customWidth="1"/>
    <col min="14339" max="14339" width="9.140625" style="137"/>
    <col min="14340" max="14340" width="38.7109375" style="137" customWidth="1"/>
    <col min="14341" max="14584" width="9.140625" style="137"/>
    <col min="14585" max="14585" width="3.140625" style="137" customWidth="1"/>
    <col min="14586" max="14586" width="3.42578125" style="137" customWidth="1"/>
    <col min="14587" max="14587" width="39.140625" style="137" customWidth="1"/>
    <col min="14588" max="14588" width="14" style="137" customWidth="1"/>
    <col min="14589" max="14589" width="13.28515625" style="137" customWidth="1"/>
    <col min="14590" max="14593" width="12.42578125" style="137" customWidth="1"/>
    <col min="14594" max="14594" width="7.7109375" style="137" customWidth="1"/>
    <col min="14595" max="14595" width="9.140625" style="137"/>
    <col min="14596" max="14596" width="38.7109375" style="137" customWidth="1"/>
    <col min="14597" max="14840" width="9.140625" style="137"/>
    <col min="14841" max="14841" width="3.140625" style="137" customWidth="1"/>
    <col min="14842" max="14842" width="3.42578125" style="137" customWidth="1"/>
    <col min="14843" max="14843" width="39.140625" style="137" customWidth="1"/>
    <col min="14844" max="14844" width="14" style="137" customWidth="1"/>
    <col min="14845" max="14845" width="13.28515625" style="137" customWidth="1"/>
    <col min="14846" max="14849" width="12.42578125" style="137" customWidth="1"/>
    <col min="14850" max="14850" width="7.7109375" style="137" customWidth="1"/>
    <col min="14851" max="14851" width="9.140625" style="137"/>
    <col min="14852" max="14852" width="38.7109375" style="137" customWidth="1"/>
    <col min="14853" max="15096" width="9.140625" style="137"/>
    <col min="15097" max="15097" width="3.140625" style="137" customWidth="1"/>
    <col min="15098" max="15098" width="3.42578125" style="137" customWidth="1"/>
    <col min="15099" max="15099" width="39.140625" style="137" customWidth="1"/>
    <col min="15100" max="15100" width="14" style="137" customWidth="1"/>
    <col min="15101" max="15101" width="13.28515625" style="137" customWidth="1"/>
    <col min="15102" max="15105" width="12.42578125" style="137" customWidth="1"/>
    <col min="15106" max="15106" width="7.7109375" style="137" customWidth="1"/>
    <col min="15107" max="15107" width="9.140625" style="137"/>
    <col min="15108" max="15108" width="38.7109375" style="137" customWidth="1"/>
    <col min="15109" max="15352" width="9.140625" style="137"/>
    <col min="15353" max="15353" width="3.140625" style="137" customWidth="1"/>
    <col min="15354" max="15354" width="3.42578125" style="137" customWidth="1"/>
    <col min="15355" max="15355" width="39.140625" style="137" customWidth="1"/>
    <col min="15356" max="15356" width="14" style="137" customWidth="1"/>
    <col min="15357" max="15357" width="13.28515625" style="137" customWidth="1"/>
    <col min="15358" max="15361" width="12.42578125" style="137" customWidth="1"/>
    <col min="15362" max="15362" width="7.7109375" style="137" customWidth="1"/>
    <col min="15363" max="15363" width="9.140625" style="137"/>
    <col min="15364" max="15364" width="38.7109375" style="137" customWidth="1"/>
    <col min="15365" max="15608" width="9.140625" style="137"/>
    <col min="15609" max="15609" width="3.140625" style="137" customWidth="1"/>
    <col min="15610" max="15610" width="3.42578125" style="137" customWidth="1"/>
    <col min="15611" max="15611" width="39.140625" style="137" customWidth="1"/>
    <col min="15612" max="15612" width="14" style="137" customWidth="1"/>
    <col min="15613" max="15613" width="13.28515625" style="137" customWidth="1"/>
    <col min="15614" max="15617" width="12.42578125" style="137" customWidth="1"/>
    <col min="15618" max="15618" width="7.7109375" style="137" customWidth="1"/>
    <col min="15619" max="15619" width="9.140625" style="137"/>
    <col min="15620" max="15620" width="38.7109375" style="137" customWidth="1"/>
    <col min="15621" max="15864" width="9.140625" style="137"/>
    <col min="15865" max="15865" width="3.140625" style="137" customWidth="1"/>
    <col min="15866" max="15866" width="3.42578125" style="137" customWidth="1"/>
    <col min="15867" max="15867" width="39.140625" style="137" customWidth="1"/>
    <col min="15868" max="15868" width="14" style="137" customWidth="1"/>
    <col min="15869" max="15869" width="13.28515625" style="137" customWidth="1"/>
    <col min="15870" max="15873" width="12.42578125" style="137" customWidth="1"/>
    <col min="15874" max="15874" width="7.7109375" style="137" customWidth="1"/>
    <col min="15875" max="15875" width="9.140625" style="137"/>
    <col min="15876" max="15876" width="38.7109375" style="137" customWidth="1"/>
    <col min="15877" max="16120" width="9.140625" style="137"/>
    <col min="16121" max="16121" width="3.140625" style="137" customWidth="1"/>
    <col min="16122" max="16122" width="3.42578125" style="137" customWidth="1"/>
    <col min="16123" max="16123" width="39.140625" style="137" customWidth="1"/>
    <col min="16124" max="16124" width="14" style="137" customWidth="1"/>
    <col min="16125" max="16125" width="13.28515625" style="137" customWidth="1"/>
    <col min="16126" max="16129" width="12.42578125" style="137" customWidth="1"/>
    <col min="16130" max="16130" width="7.7109375" style="137" customWidth="1"/>
    <col min="16131" max="16131" width="9.140625" style="137"/>
    <col min="16132" max="16132" width="38.7109375" style="137" customWidth="1"/>
    <col min="16133" max="16384" width="9.140625" style="137"/>
  </cols>
  <sheetData>
    <row r="1" spans="1:8" ht="11.25"/>
    <row r="2" spans="1:8" ht="15.75">
      <c r="A2" s="311" t="s">
        <v>387</v>
      </c>
      <c r="B2" s="312"/>
      <c r="C2" s="312"/>
      <c r="D2" s="312"/>
      <c r="E2" s="312"/>
      <c r="F2" s="312"/>
      <c r="G2" s="312"/>
      <c r="H2" s="312"/>
    </row>
    <row r="3" spans="1:8" ht="15.75">
      <c r="A3" s="311" t="s">
        <v>388</v>
      </c>
      <c r="B3" s="311"/>
      <c r="C3" s="311"/>
      <c r="D3" s="311"/>
      <c r="E3" s="311"/>
      <c r="F3" s="311"/>
      <c r="G3" s="311"/>
      <c r="H3" s="311"/>
    </row>
    <row r="5" spans="1:8" ht="11.25">
      <c r="C5" s="141" t="s">
        <v>389</v>
      </c>
      <c r="D5" s="139" t="s">
        <v>390</v>
      </c>
      <c r="E5" s="139" t="s">
        <v>391</v>
      </c>
    </row>
    <row r="6" spans="1:8" ht="11.25">
      <c r="C6" s="141" t="s">
        <v>392</v>
      </c>
      <c r="D6" s="139" t="s">
        <v>393</v>
      </c>
      <c r="E6" s="139"/>
      <c r="H6" s="140">
        <f>(H7/H10)</f>
        <v>1</v>
      </c>
    </row>
    <row r="7" spans="1:8" ht="11.25">
      <c r="C7" s="141" t="s">
        <v>394</v>
      </c>
      <c r="D7" s="139" t="s">
        <v>395</v>
      </c>
      <c r="E7" s="139" t="s">
        <v>391</v>
      </c>
      <c r="H7" s="140">
        <f>(H16+(H17*H18))</f>
        <v>215.47</v>
      </c>
    </row>
    <row r="8" spans="1:8" ht="11.25">
      <c r="C8" s="141"/>
      <c r="D8" s="142"/>
      <c r="E8" s="139"/>
    </row>
    <row r="9" spans="1:8" ht="11.25">
      <c r="C9" s="141" t="s">
        <v>389</v>
      </c>
      <c r="D9" s="313" t="s">
        <v>396</v>
      </c>
      <c r="E9" s="313"/>
      <c r="F9" s="313"/>
      <c r="G9" s="313"/>
      <c r="H9" s="143">
        <f>(H10*H11*(H12*H6))</f>
        <v>19611.453588932</v>
      </c>
    </row>
    <row r="10" spans="1:8" ht="11.25">
      <c r="C10" s="141" t="s">
        <v>397</v>
      </c>
      <c r="D10" s="313" t="s">
        <v>398</v>
      </c>
      <c r="E10" s="313"/>
      <c r="H10" s="144">
        <v>215.47</v>
      </c>
    </row>
    <row r="11" spans="1:8" ht="11.25">
      <c r="C11" s="141" t="s">
        <v>399</v>
      </c>
      <c r="D11" s="310" t="s">
        <v>400</v>
      </c>
      <c r="E11" s="310"/>
      <c r="F11" s="310"/>
      <c r="G11" s="310"/>
      <c r="H11" s="145">
        <v>1156.3599999999999</v>
      </c>
    </row>
    <row r="12" spans="1:8" s="149" customFormat="1" ht="11.25">
      <c r="A12" s="146"/>
      <c r="B12" s="146"/>
      <c r="C12" s="147" t="s">
        <v>401</v>
      </c>
      <c r="D12" s="310" t="s">
        <v>402</v>
      </c>
      <c r="E12" s="310"/>
      <c r="F12" s="310"/>
      <c r="G12" s="310"/>
      <c r="H12" s="148">
        <v>7.8710000000000002E-2</v>
      </c>
    </row>
    <row r="13" spans="1:8" ht="11.25">
      <c r="C13" s="141"/>
      <c r="D13" s="317" t="s">
        <v>403</v>
      </c>
      <c r="E13" s="317"/>
      <c r="F13" s="317"/>
      <c r="G13" s="317"/>
      <c r="H13" s="144" t="s">
        <v>404</v>
      </c>
    </row>
    <row r="14" spans="1:8" ht="11.25">
      <c r="C14" s="141" t="s">
        <v>392</v>
      </c>
      <c r="D14" s="150" t="s">
        <v>405</v>
      </c>
      <c r="E14" s="150"/>
      <c r="F14" s="150"/>
      <c r="G14" s="150"/>
      <c r="H14" s="151">
        <f>(H7/H10)</f>
        <v>1</v>
      </c>
    </row>
    <row r="15" spans="1:8" ht="11.25">
      <c r="C15" s="141" t="s">
        <v>394</v>
      </c>
      <c r="D15" s="318" t="s">
        <v>406</v>
      </c>
      <c r="E15" s="318"/>
      <c r="F15" s="318"/>
      <c r="G15" s="318"/>
      <c r="H15" s="144">
        <f>(H16+(H17*H18))</f>
        <v>215.47</v>
      </c>
    </row>
    <row r="16" spans="1:8" ht="11.25">
      <c r="C16" s="141" t="s">
        <v>407</v>
      </c>
      <c r="D16" s="318" t="s">
        <v>408</v>
      </c>
      <c r="E16" s="318"/>
      <c r="F16" s="318"/>
      <c r="G16" s="318"/>
      <c r="H16" s="144">
        <v>215.47</v>
      </c>
    </row>
    <row r="17" spans="1:8" ht="11.25">
      <c r="C17" s="141" t="s">
        <v>409</v>
      </c>
      <c r="D17" s="318" t="s">
        <v>410</v>
      </c>
      <c r="E17" s="318"/>
      <c r="F17" s="318"/>
      <c r="G17" s="318"/>
      <c r="H17" s="144">
        <v>0</v>
      </c>
    </row>
    <row r="18" spans="1:8" ht="11.25">
      <c r="C18" s="141" t="s">
        <v>411</v>
      </c>
      <c r="D18" s="319" t="s">
        <v>412</v>
      </c>
      <c r="E18" s="319"/>
      <c r="F18" s="319"/>
      <c r="G18" s="319"/>
      <c r="H18" s="152">
        <v>0</v>
      </c>
    </row>
    <row r="19" spans="1:8" ht="11.25">
      <c r="C19" s="141" t="s">
        <v>413</v>
      </c>
      <c r="D19" s="310" t="s">
        <v>414</v>
      </c>
      <c r="E19" s="310"/>
      <c r="F19" s="310"/>
      <c r="G19" s="310"/>
      <c r="H19" s="153">
        <v>0</v>
      </c>
    </row>
    <row r="20" spans="1:8" ht="11.25">
      <c r="C20" s="141"/>
      <c r="D20" s="154"/>
      <c r="E20" s="154"/>
      <c r="F20" s="154"/>
      <c r="G20" s="154"/>
      <c r="H20" s="153"/>
    </row>
    <row r="21" spans="1:8" ht="11.25">
      <c r="C21" s="141"/>
      <c r="D21" s="149"/>
      <c r="E21" s="323" t="s">
        <v>415</v>
      </c>
      <c r="F21" s="323"/>
      <c r="G21" s="323"/>
      <c r="H21" s="155">
        <v>0.20899999999999999</v>
      </c>
    </row>
    <row r="22" spans="1:8" ht="11.25">
      <c r="C22" s="141"/>
      <c r="D22" s="149"/>
      <c r="E22" s="323" t="s">
        <v>416</v>
      </c>
      <c r="F22" s="323"/>
      <c r="G22" s="323"/>
      <c r="H22" s="156">
        <v>0.5131</v>
      </c>
    </row>
    <row r="23" spans="1:8" ht="11.25">
      <c r="D23" s="137"/>
      <c r="E23" s="157"/>
    </row>
    <row r="24" spans="1:8" ht="11.25">
      <c r="A24" s="158"/>
      <c r="B24" s="158"/>
      <c r="C24" s="158" t="s">
        <v>417</v>
      </c>
      <c r="D24" s="158" t="s">
        <v>418</v>
      </c>
      <c r="E24" s="324" t="s">
        <v>419</v>
      </c>
      <c r="F24" s="324" t="s">
        <v>420</v>
      </c>
      <c r="G24" s="324"/>
      <c r="H24" s="314" t="s">
        <v>421</v>
      </c>
    </row>
    <row r="25" spans="1:8" ht="11.25">
      <c r="A25" s="158"/>
      <c r="B25" s="158"/>
      <c r="C25" s="159" t="s">
        <v>422</v>
      </c>
      <c r="D25" s="158" t="s">
        <v>423</v>
      </c>
      <c r="E25" s="325"/>
      <c r="F25" s="325"/>
      <c r="G25" s="325"/>
      <c r="H25" s="315"/>
    </row>
    <row r="26" spans="1:8" ht="11.25">
      <c r="A26" s="158"/>
      <c r="B26" s="158"/>
      <c r="C26" s="160"/>
      <c r="D26" s="161" t="s">
        <v>424</v>
      </c>
      <c r="E26" s="326"/>
      <c r="F26" s="326"/>
      <c r="G26" s="326"/>
      <c r="H26" s="316"/>
    </row>
    <row r="27" spans="1:8" ht="11.25">
      <c r="A27" s="162"/>
      <c r="B27" s="162"/>
      <c r="C27" s="162"/>
      <c r="D27" s="163"/>
      <c r="E27" s="163"/>
      <c r="F27" s="164"/>
      <c r="G27" s="164"/>
      <c r="H27" s="164"/>
    </row>
    <row r="28" spans="1:8" ht="11.25">
      <c r="A28" s="165">
        <v>1</v>
      </c>
      <c r="B28" s="165"/>
      <c r="C28" s="166" t="s">
        <v>425</v>
      </c>
      <c r="D28" s="165"/>
      <c r="E28" s="165"/>
      <c r="F28" s="167"/>
      <c r="G28" s="168"/>
      <c r="H28" s="169"/>
    </row>
    <row r="29" spans="1:8" ht="11.25">
      <c r="A29" s="170"/>
      <c r="B29" s="170" t="s">
        <v>134</v>
      </c>
      <c r="C29" s="162" t="s">
        <v>426</v>
      </c>
      <c r="D29" s="163"/>
      <c r="E29" s="171">
        <v>1</v>
      </c>
      <c r="F29" s="171">
        <v>0.05</v>
      </c>
      <c r="H29" s="172">
        <f>(H9*F29)</f>
        <v>980.57267944659998</v>
      </c>
    </row>
    <row r="30" spans="1:8" ht="11.25">
      <c r="A30" s="165">
        <v>2</v>
      </c>
      <c r="B30" s="165"/>
      <c r="C30" s="166" t="s">
        <v>427</v>
      </c>
      <c r="D30" s="165"/>
      <c r="E30" s="165"/>
      <c r="F30" s="167"/>
      <c r="G30" s="169"/>
      <c r="H30" s="169"/>
    </row>
    <row r="31" spans="1:8" ht="11.25">
      <c r="A31" s="170"/>
      <c r="B31" s="170" t="s">
        <v>135</v>
      </c>
      <c r="C31" s="173" t="s">
        <v>428</v>
      </c>
      <c r="D31" s="163"/>
      <c r="E31" s="171">
        <v>0.1</v>
      </c>
      <c r="F31" s="171">
        <v>0.05</v>
      </c>
      <c r="G31" s="172"/>
      <c r="H31" s="172">
        <f>((H9*E31)*F31)</f>
        <v>98.057267944659998</v>
      </c>
    </row>
    <row r="32" spans="1:8" ht="11.25">
      <c r="A32" s="170"/>
      <c r="B32" s="170" t="s">
        <v>136</v>
      </c>
      <c r="C32" s="162" t="s">
        <v>429</v>
      </c>
      <c r="D32" s="163"/>
      <c r="E32" s="171">
        <v>0.1</v>
      </c>
      <c r="F32" s="171">
        <v>0.05</v>
      </c>
      <c r="G32" s="172"/>
      <c r="H32" s="172">
        <f>((H9*E32)*F32)</f>
        <v>98.057267944659998</v>
      </c>
    </row>
    <row r="33" spans="1:8" ht="11.25">
      <c r="A33" s="165">
        <v>3</v>
      </c>
      <c r="B33" s="165"/>
      <c r="C33" s="166" t="s">
        <v>430</v>
      </c>
      <c r="D33" s="165"/>
      <c r="E33" s="165"/>
      <c r="F33" s="167"/>
      <c r="G33" s="169"/>
      <c r="H33" s="169"/>
    </row>
    <row r="34" spans="1:8" ht="11.25">
      <c r="A34" s="170"/>
      <c r="B34" s="170" t="s">
        <v>137</v>
      </c>
      <c r="C34" s="162" t="s">
        <v>431</v>
      </c>
      <c r="D34" s="163"/>
      <c r="E34" s="171">
        <v>0.2</v>
      </c>
      <c r="F34" s="171">
        <v>0.05</v>
      </c>
      <c r="G34" s="172"/>
      <c r="H34" s="172">
        <f>((H9*E34)*F34)</f>
        <v>196.11453588932</v>
      </c>
    </row>
    <row r="35" spans="1:8" s="177" customFormat="1" ht="11.25">
      <c r="A35" s="174"/>
      <c r="B35" s="174" t="s">
        <v>138</v>
      </c>
      <c r="C35" s="173" t="s">
        <v>432</v>
      </c>
      <c r="D35" s="175"/>
      <c r="E35" s="171">
        <v>0.2</v>
      </c>
      <c r="F35" s="171">
        <v>0.05</v>
      </c>
      <c r="G35" s="176"/>
      <c r="H35" s="172">
        <f>((H9*E35)*F35)</f>
        <v>196.11453588932</v>
      </c>
    </row>
    <row r="36" spans="1:8" ht="11.25">
      <c r="A36" s="165">
        <v>4</v>
      </c>
      <c r="B36" s="165"/>
      <c r="C36" s="166" t="s">
        <v>433</v>
      </c>
      <c r="D36" s="165"/>
      <c r="E36" s="165"/>
      <c r="F36" s="167"/>
      <c r="G36" s="169"/>
      <c r="H36" s="169"/>
    </row>
    <row r="37" spans="1:8" ht="11.25">
      <c r="A37" s="170"/>
      <c r="B37" s="170" t="s">
        <v>141</v>
      </c>
      <c r="C37" s="173" t="s">
        <v>434</v>
      </c>
      <c r="D37" s="163"/>
      <c r="E37" s="171">
        <v>0.4</v>
      </c>
      <c r="F37" s="171">
        <v>0.05</v>
      </c>
      <c r="G37" s="172"/>
      <c r="H37" s="172">
        <f>((H9*E37)*F37)</f>
        <v>392.22907177863999</v>
      </c>
    </row>
    <row r="38" spans="1:8" ht="11.25">
      <c r="A38" s="158"/>
      <c r="B38" s="158"/>
      <c r="C38" s="320" t="s">
        <v>435</v>
      </c>
      <c r="D38" s="321"/>
      <c r="E38" s="321"/>
      <c r="F38" s="321"/>
      <c r="G38" s="322"/>
      <c r="H38" s="178">
        <f>SUM(H29:H37)</f>
        <v>1961.1453588932</v>
      </c>
    </row>
    <row r="39" spans="1:8" ht="11.25"/>
    <row r="40" spans="1:8" ht="11.25"/>
    <row r="41" spans="1:8" ht="11.25"/>
    <row r="42" spans="1:8" ht="11.25"/>
    <row r="43" spans="1:8" ht="11.25"/>
    <row r="44" spans="1:8" ht="11.25"/>
    <row r="45" spans="1:8" ht="11.25"/>
    <row r="46" spans="1:8" ht="11.25"/>
    <row r="47" spans="1:8" ht="11.25"/>
    <row r="48" spans="1:8" ht="11.25"/>
    <row r="49" ht="11.25"/>
    <row r="50" ht="11.25"/>
    <row r="51" ht="11.25"/>
    <row r="52" ht="11.25"/>
    <row r="53" ht="11.25"/>
    <row r="54" ht="11.25"/>
    <row r="55" ht="11.25"/>
    <row r="56" ht="11.25"/>
    <row r="57" ht="11.25"/>
    <row r="58" ht="11.25"/>
    <row r="59" ht="11.25"/>
    <row r="60" ht="11.25"/>
    <row r="61" ht="11.25"/>
    <row r="62" ht="11.25"/>
    <row r="63" ht="11.25"/>
    <row r="64" ht="11.25"/>
    <row r="65" ht="11.25"/>
    <row r="66" ht="11.25"/>
    <row r="67" ht="11.25"/>
    <row r="68" ht="11.25"/>
    <row r="69" ht="11.25"/>
    <row r="70" ht="11.25"/>
    <row r="71" ht="11.25"/>
    <row r="72" ht="11.25"/>
    <row r="73" ht="11.25"/>
  </sheetData>
  <mergeCells count="19">
    <mergeCell ref="C38:G38"/>
    <mergeCell ref="E21:G21"/>
    <mergeCell ref="E22:G22"/>
    <mergeCell ref="E24:E26"/>
    <mergeCell ref="F24:F26"/>
    <mergeCell ref="G24:G26"/>
    <mergeCell ref="H24:H26"/>
    <mergeCell ref="D13:G13"/>
    <mergeCell ref="D15:G15"/>
    <mergeCell ref="D16:G16"/>
    <mergeCell ref="D17:G17"/>
    <mergeCell ref="D18:G18"/>
    <mergeCell ref="D19:G19"/>
    <mergeCell ref="D12:G12"/>
    <mergeCell ref="A2:H2"/>
    <mergeCell ref="A3:H3"/>
    <mergeCell ref="D9:G9"/>
    <mergeCell ref="D10:E10"/>
    <mergeCell ref="D11:G11"/>
  </mergeCells>
  <pageMargins left="0.511811024" right="0.511811024" top="0.78740157499999996" bottom="0.78740157499999996" header="0.31496062000000002" footer="0.31496062000000002"/>
  <pageSetup paperSize="9" scale="91" orientation="portrait" verticalDpi="598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42"/>
  <sheetViews>
    <sheetView tabSelected="1" workbookViewId="0">
      <selection activeCell="F20" sqref="F20"/>
    </sheetView>
  </sheetViews>
  <sheetFormatPr defaultRowHeight="15"/>
  <cols>
    <col min="1" max="1" width="15.7109375" style="3" bestFit="1" customWidth="1"/>
    <col min="2" max="2" width="65.42578125" style="1" customWidth="1"/>
    <col min="3" max="3" width="15.85546875" style="4" bestFit="1" customWidth="1"/>
    <col min="4" max="4" width="7.42578125" style="3" bestFit="1" customWidth="1"/>
    <col min="5" max="5" width="12.28515625" style="127" customWidth="1"/>
    <col min="6" max="6" width="14.28515625" style="127" bestFit="1" customWidth="1"/>
    <col min="7" max="9" width="12.28515625" style="127" customWidth="1"/>
    <col min="10" max="10" width="15.7109375" style="73" customWidth="1"/>
    <col min="11" max="60" width="15.7109375" style="127" customWidth="1"/>
    <col min="61" max="16384" width="9.140625" style="127"/>
  </cols>
  <sheetData>
    <row r="1" spans="1:14">
      <c r="A1" s="239"/>
      <c r="B1" s="240"/>
      <c r="C1" s="241"/>
      <c r="D1" s="242"/>
      <c r="E1" s="243"/>
      <c r="F1" s="243"/>
      <c r="G1" s="243"/>
      <c r="H1" s="243"/>
      <c r="I1" s="244"/>
    </row>
    <row r="2" spans="1:14" ht="30" customHeight="1">
      <c r="A2" s="327" t="s">
        <v>489</v>
      </c>
      <c r="B2" s="299"/>
      <c r="C2" s="299"/>
      <c r="D2" s="299"/>
      <c r="E2" s="299"/>
      <c r="F2" s="299"/>
      <c r="G2" s="299"/>
      <c r="H2" s="299"/>
      <c r="I2" s="328"/>
      <c r="J2" s="127"/>
    </row>
    <row r="3" spans="1:14">
      <c r="A3" s="245"/>
      <c r="B3" s="108"/>
      <c r="C3" s="110"/>
      <c r="D3" s="109"/>
      <c r="E3" s="77"/>
      <c r="F3" s="77"/>
      <c r="G3" s="77"/>
      <c r="H3" s="77"/>
      <c r="I3" s="246"/>
    </row>
    <row r="4" spans="1:14" ht="18.75">
      <c r="A4" s="247" t="s">
        <v>444</v>
      </c>
      <c r="B4" s="236" t="s">
        <v>443</v>
      </c>
      <c r="C4" s="110"/>
      <c r="D4" s="109"/>
      <c r="E4" s="77"/>
      <c r="F4" s="77"/>
      <c r="G4" s="77"/>
      <c r="H4" s="77"/>
      <c r="I4" s="246"/>
    </row>
    <row r="5" spans="1:14">
      <c r="A5" s="247" t="s">
        <v>161</v>
      </c>
      <c r="B5" s="210">
        <v>42405</v>
      </c>
      <c r="C5" s="110"/>
      <c r="D5" s="109"/>
      <c r="E5" s="77"/>
      <c r="F5" s="77"/>
      <c r="G5" s="77"/>
      <c r="H5" s="77"/>
      <c r="I5" s="246"/>
    </row>
    <row r="6" spans="1:14">
      <c r="A6" s="247" t="s">
        <v>169</v>
      </c>
      <c r="B6" s="211" t="s">
        <v>439</v>
      </c>
      <c r="C6" s="110"/>
      <c r="D6" s="109"/>
      <c r="E6" s="77"/>
      <c r="F6" s="77"/>
      <c r="G6" s="77"/>
      <c r="H6" s="77"/>
      <c r="I6" s="246"/>
    </row>
    <row r="7" spans="1:14">
      <c r="A7" s="247" t="s">
        <v>162</v>
      </c>
      <c r="B7" s="108" t="s">
        <v>163</v>
      </c>
      <c r="C7" s="110"/>
      <c r="D7" s="109"/>
      <c r="E7" s="77"/>
      <c r="F7" s="77"/>
      <c r="G7" s="77"/>
      <c r="H7" s="77"/>
      <c r="I7" s="246"/>
    </row>
    <row r="8" spans="1:14" ht="45">
      <c r="A8" s="248" t="s">
        <v>6</v>
      </c>
      <c r="B8" s="28" t="s">
        <v>7</v>
      </c>
      <c r="C8" s="28" t="s">
        <v>90</v>
      </c>
      <c r="D8" s="29" t="s">
        <v>8</v>
      </c>
      <c r="E8" s="29" t="s">
        <v>9</v>
      </c>
      <c r="F8" s="28" t="s">
        <v>173</v>
      </c>
      <c r="G8" s="28" t="s">
        <v>164</v>
      </c>
      <c r="H8" s="28" t="s">
        <v>111</v>
      </c>
      <c r="I8" s="249" t="s">
        <v>165</v>
      </c>
    </row>
    <row r="9" spans="1:14">
      <c r="A9" s="250">
        <v>1</v>
      </c>
      <c r="B9" s="32" t="s">
        <v>305</v>
      </c>
      <c r="C9" s="33"/>
      <c r="D9" s="34"/>
      <c r="E9" s="35"/>
      <c r="F9" s="35"/>
      <c r="G9" s="35"/>
      <c r="H9" s="36"/>
      <c r="I9" s="251">
        <f>SUM(I11:I16)</f>
        <v>0</v>
      </c>
      <c r="J9" s="133"/>
    </row>
    <row r="10" spans="1:14" s="73" customFormat="1">
      <c r="A10" s="252"/>
      <c r="B10" s="107" t="s">
        <v>280</v>
      </c>
      <c r="C10" s="5"/>
      <c r="D10" s="116"/>
      <c r="E10" s="6" t="s">
        <v>257</v>
      </c>
      <c r="F10" s="117"/>
      <c r="G10" s="124"/>
      <c r="H10" s="119"/>
      <c r="I10" s="253"/>
      <c r="K10" s="75"/>
      <c r="L10" s="75"/>
    </row>
    <row r="11" spans="1:14" s="73" customFormat="1">
      <c r="A11" s="252"/>
      <c r="B11" s="107" t="s">
        <v>306</v>
      </c>
      <c r="C11" s="5"/>
      <c r="D11" s="116"/>
      <c r="E11" s="6"/>
      <c r="F11" s="117"/>
      <c r="G11" s="124"/>
      <c r="H11" s="117"/>
      <c r="I11" s="253"/>
      <c r="K11" s="78"/>
      <c r="L11" s="75"/>
      <c r="N11" s="74"/>
    </row>
    <row r="12" spans="1:14">
      <c r="A12" s="252" t="s">
        <v>457</v>
      </c>
      <c r="B12" s="115" t="s">
        <v>279</v>
      </c>
      <c r="C12" s="5"/>
      <c r="D12" s="116" t="s">
        <v>258</v>
      </c>
      <c r="E12" s="6">
        <f>220*4*1</f>
        <v>880</v>
      </c>
      <c r="F12" s="117"/>
      <c r="G12" s="124"/>
      <c r="H12" s="117"/>
      <c r="I12" s="253"/>
      <c r="K12" s="76"/>
      <c r="L12" s="77"/>
      <c r="N12" s="74"/>
    </row>
    <row r="13" spans="1:14">
      <c r="A13" s="252" t="s">
        <v>311</v>
      </c>
      <c r="B13" s="115" t="s">
        <v>260</v>
      </c>
      <c r="C13" s="5"/>
      <c r="D13" s="116" t="s">
        <v>258</v>
      </c>
      <c r="E13" s="6">
        <f>220*4*1</f>
        <v>880</v>
      </c>
      <c r="F13" s="117"/>
      <c r="G13" s="124"/>
      <c r="H13" s="117"/>
      <c r="I13" s="253"/>
      <c r="K13" s="76"/>
      <c r="L13" s="77"/>
      <c r="N13" s="74"/>
    </row>
    <row r="14" spans="1:14" s="73" customFormat="1">
      <c r="A14" s="252"/>
      <c r="B14" s="107" t="s">
        <v>261</v>
      </c>
      <c r="C14" s="5"/>
      <c r="D14" s="116"/>
      <c r="E14" s="6"/>
      <c r="F14" s="117"/>
      <c r="G14" s="124"/>
      <c r="H14" s="117"/>
      <c r="I14" s="253"/>
      <c r="K14" s="78"/>
      <c r="L14" s="75"/>
      <c r="N14" s="74"/>
    </row>
    <row r="15" spans="1:14">
      <c r="A15" s="252" t="s">
        <v>458</v>
      </c>
      <c r="B15" s="115" t="s">
        <v>436</v>
      </c>
      <c r="C15" s="5"/>
      <c r="D15" s="116" t="s">
        <v>258</v>
      </c>
      <c r="E15" s="6">
        <v>880</v>
      </c>
      <c r="F15" s="117"/>
      <c r="G15" s="124"/>
      <c r="H15" s="117"/>
      <c r="I15" s="253"/>
      <c r="K15" s="76"/>
      <c r="L15" s="77"/>
      <c r="N15" s="74"/>
    </row>
    <row r="16" spans="1:14">
      <c r="A16" s="252" t="s">
        <v>312</v>
      </c>
      <c r="B16" s="115" t="s">
        <v>437</v>
      </c>
      <c r="C16" s="5"/>
      <c r="D16" s="116" t="s">
        <v>258</v>
      </c>
      <c r="E16" s="6">
        <v>880</v>
      </c>
      <c r="F16" s="117"/>
      <c r="G16" s="124"/>
      <c r="H16" s="117"/>
      <c r="I16" s="253"/>
      <c r="K16" s="76"/>
      <c r="L16" s="77"/>
      <c r="N16" s="74"/>
    </row>
    <row r="17" spans="1:14" s="73" customFormat="1">
      <c r="A17" s="252"/>
      <c r="B17" s="115"/>
      <c r="C17" s="5"/>
      <c r="D17" s="116"/>
      <c r="E17" s="6"/>
      <c r="F17" s="117"/>
      <c r="G17" s="124"/>
      <c r="H17" s="117"/>
      <c r="I17" s="253"/>
      <c r="K17" s="78"/>
      <c r="L17" s="75"/>
      <c r="N17" s="74"/>
    </row>
    <row r="18" spans="1:14">
      <c r="A18" s="250">
        <v>2</v>
      </c>
      <c r="B18" s="32" t="s">
        <v>264</v>
      </c>
      <c r="C18" s="33"/>
      <c r="D18" s="34"/>
      <c r="E18" s="35"/>
      <c r="F18" s="35"/>
      <c r="G18" s="35"/>
      <c r="H18" s="36"/>
      <c r="I18" s="251"/>
      <c r="J18" s="133"/>
    </row>
    <row r="19" spans="1:14">
      <c r="A19" s="252" t="s">
        <v>265</v>
      </c>
      <c r="B19" s="115" t="s">
        <v>266</v>
      </c>
      <c r="C19" s="5"/>
      <c r="D19" s="116" t="s">
        <v>267</v>
      </c>
      <c r="E19" s="6">
        <v>1</v>
      </c>
      <c r="F19" s="117"/>
      <c r="G19" s="124"/>
      <c r="H19" s="117"/>
      <c r="I19" s="253"/>
      <c r="K19" s="79"/>
      <c r="L19" s="77"/>
    </row>
    <row r="20" spans="1:14">
      <c r="A20" s="252" t="s">
        <v>313</v>
      </c>
      <c r="B20" s="115" t="s">
        <v>378</v>
      </c>
      <c r="C20" s="5"/>
      <c r="D20" s="116" t="s">
        <v>377</v>
      </c>
      <c r="E20" s="6">
        <v>1</v>
      </c>
      <c r="F20" s="126"/>
      <c r="G20" s="124"/>
      <c r="H20" s="117"/>
      <c r="I20" s="253"/>
    </row>
    <row r="21" spans="1:14">
      <c r="A21" s="252" t="s">
        <v>271</v>
      </c>
      <c r="B21" s="115" t="s">
        <v>275</v>
      </c>
      <c r="C21" s="5"/>
      <c r="D21" s="116" t="s">
        <v>269</v>
      </c>
      <c r="E21" s="6">
        <v>4</v>
      </c>
      <c r="F21" s="126"/>
      <c r="G21" s="124"/>
      <c r="H21" s="117"/>
      <c r="I21" s="253"/>
    </row>
    <row r="22" spans="1:14">
      <c r="A22" s="252" t="s">
        <v>272</v>
      </c>
      <c r="B22" s="115" t="s">
        <v>276</v>
      </c>
      <c r="C22" s="5"/>
      <c r="D22" s="116" t="s">
        <v>269</v>
      </c>
      <c r="E22" s="6">
        <v>4</v>
      </c>
      <c r="F22" s="126"/>
      <c r="G22" s="124"/>
      <c r="H22" s="117"/>
      <c r="I22" s="253"/>
    </row>
    <row r="23" spans="1:14">
      <c r="A23" s="252" t="s">
        <v>273</v>
      </c>
      <c r="B23" s="115" t="s">
        <v>277</v>
      </c>
      <c r="C23" s="5"/>
      <c r="D23" s="116" t="s">
        <v>269</v>
      </c>
      <c r="E23" s="6">
        <v>4</v>
      </c>
      <c r="F23" s="126"/>
      <c r="G23" s="124"/>
      <c r="H23" s="117"/>
      <c r="I23" s="253"/>
    </row>
    <row r="24" spans="1:14">
      <c r="A24" s="252" t="s">
        <v>274</v>
      </c>
      <c r="B24" s="115" t="s">
        <v>278</v>
      </c>
      <c r="C24" s="5"/>
      <c r="D24" s="116" t="s">
        <v>269</v>
      </c>
      <c r="E24" s="6">
        <v>12</v>
      </c>
      <c r="F24" s="126"/>
      <c r="G24" s="124"/>
      <c r="H24" s="117"/>
      <c r="I24" s="253"/>
    </row>
    <row r="25" spans="1:14">
      <c r="A25" s="245"/>
      <c r="B25" s="108"/>
      <c r="C25" s="110"/>
      <c r="D25" s="109"/>
      <c r="E25" s="77"/>
      <c r="F25" s="132"/>
      <c r="G25" s="69"/>
      <c r="H25" s="111"/>
      <c r="I25" s="254"/>
    </row>
    <row r="26" spans="1:14">
      <c r="A26" s="250">
        <v>3</v>
      </c>
      <c r="B26" s="32" t="s">
        <v>380</v>
      </c>
      <c r="C26" s="33"/>
      <c r="D26" s="34" t="s">
        <v>381</v>
      </c>
      <c r="E26" s="35">
        <v>1</v>
      </c>
      <c r="F26" s="35"/>
      <c r="G26" s="35"/>
      <c r="H26" s="36"/>
      <c r="I26" s="251"/>
      <c r="J26" s="133"/>
    </row>
    <row r="27" spans="1:14">
      <c r="A27" s="255"/>
      <c r="B27" s="123"/>
      <c r="C27" s="16"/>
      <c r="D27" s="17"/>
      <c r="E27" s="18"/>
      <c r="F27" s="18"/>
      <c r="G27" s="18"/>
      <c r="H27" s="18"/>
      <c r="I27" s="256"/>
    </row>
    <row r="28" spans="1:14">
      <c r="A28" s="250">
        <v>4</v>
      </c>
      <c r="B28" s="32" t="s">
        <v>29</v>
      </c>
      <c r="C28" s="33"/>
      <c r="D28" s="34"/>
      <c r="E28" s="35"/>
      <c r="F28" s="35"/>
      <c r="G28" s="35"/>
      <c r="H28" s="36"/>
      <c r="I28" s="251"/>
      <c r="J28" s="133"/>
    </row>
    <row r="29" spans="1:14">
      <c r="A29" s="245"/>
      <c r="B29" s="108"/>
      <c r="C29" s="110"/>
      <c r="D29" s="109"/>
      <c r="E29" s="77"/>
      <c r="F29" s="77"/>
      <c r="G29" s="77"/>
      <c r="H29" s="77"/>
      <c r="I29" s="246"/>
    </row>
    <row r="30" spans="1:14">
      <c r="A30" s="252" t="s">
        <v>139</v>
      </c>
      <c r="B30" s="115" t="s">
        <v>194</v>
      </c>
      <c r="C30" s="5"/>
      <c r="D30" s="116" t="s">
        <v>14</v>
      </c>
      <c r="E30" s="112">
        <v>2</v>
      </c>
      <c r="F30" s="25"/>
      <c r="G30" s="124"/>
      <c r="H30" s="117"/>
      <c r="I30" s="253"/>
    </row>
    <row r="31" spans="1:14" ht="30">
      <c r="A31" s="252" t="s">
        <v>140</v>
      </c>
      <c r="B31" s="115" t="s">
        <v>189</v>
      </c>
      <c r="C31" s="5"/>
      <c r="D31" s="116" t="s">
        <v>190</v>
      </c>
      <c r="E31" s="112">
        <v>0.5</v>
      </c>
      <c r="F31" s="25"/>
      <c r="G31" s="124"/>
      <c r="H31" s="117"/>
      <c r="I31" s="253"/>
    </row>
    <row r="32" spans="1:14" ht="45">
      <c r="A32" s="252" t="s">
        <v>141</v>
      </c>
      <c r="B32" s="108" t="s">
        <v>309</v>
      </c>
      <c r="C32" s="77"/>
      <c r="D32" s="109" t="s">
        <v>13</v>
      </c>
      <c r="E32" s="77">
        <v>200.41</v>
      </c>
      <c r="F32" s="77"/>
      <c r="G32" s="124"/>
      <c r="H32" s="119"/>
      <c r="I32" s="253"/>
    </row>
    <row r="33" spans="1:10" ht="30">
      <c r="A33" s="252" t="s">
        <v>142</v>
      </c>
      <c r="B33" s="115" t="s">
        <v>4</v>
      </c>
      <c r="C33" s="5"/>
      <c r="D33" s="116" t="s">
        <v>13</v>
      </c>
      <c r="E33" s="112">
        <v>200.41</v>
      </c>
      <c r="F33" s="25"/>
      <c r="G33" s="25"/>
      <c r="H33" s="117"/>
      <c r="I33" s="253"/>
    </row>
    <row r="34" spans="1:10">
      <c r="A34" s="252" t="s">
        <v>314</v>
      </c>
      <c r="B34" s="115" t="s">
        <v>254</v>
      </c>
      <c r="C34" s="5" t="s">
        <v>256</v>
      </c>
      <c r="D34" s="116" t="s">
        <v>190</v>
      </c>
      <c r="E34" s="112">
        <f>21.22*0.17</f>
        <v>3.6074000000000002</v>
      </c>
      <c r="F34" s="119"/>
      <c r="G34" s="124"/>
      <c r="H34" s="119"/>
      <c r="I34" s="253"/>
    </row>
    <row r="35" spans="1:10" ht="90">
      <c r="A35" s="252" t="s">
        <v>315</v>
      </c>
      <c r="B35" s="115" t="s">
        <v>51</v>
      </c>
      <c r="C35" s="5" t="s">
        <v>157</v>
      </c>
      <c r="D35" s="116" t="s">
        <v>13</v>
      </c>
      <c r="E35" s="112">
        <v>21.22</v>
      </c>
      <c r="F35" s="119"/>
      <c r="G35" s="124"/>
      <c r="H35" s="119"/>
      <c r="I35" s="253"/>
    </row>
    <row r="36" spans="1:10">
      <c r="A36" s="255"/>
      <c r="B36" s="123"/>
      <c r="C36" s="16"/>
      <c r="D36" s="17"/>
      <c r="E36" s="18"/>
      <c r="F36" s="20"/>
      <c r="G36" s="20"/>
      <c r="H36" s="20"/>
      <c r="I36" s="256"/>
    </row>
    <row r="37" spans="1:10">
      <c r="A37" s="250">
        <v>5</v>
      </c>
      <c r="B37" s="32" t="s">
        <v>35</v>
      </c>
      <c r="C37" s="33"/>
      <c r="D37" s="34"/>
      <c r="E37" s="35"/>
      <c r="F37" s="39"/>
      <c r="G37" s="39"/>
      <c r="H37" s="40"/>
      <c r="I37" s="251"/>
      <c r="J37" s="133"/>
    </row>
    <row r="38" spans="1:10" ht="30">
      <c r="A38" s="252" t="s">
        <v>143</v>
      </c>
      <c r="B38" s="115" t="s">
        <v>5</v>
      </c>
      <c r="C38" s="5"/>
      <c r="D38" s="116" t="s">
        <v>13</v>
      </c>
      <c r="E38" s="120">
        <v>252.97</v>
      </c>
      <c r="F38" s="25"/>
      <c r="G38" s="25"/>
      <c r="H38" s="117"/>
      <c r="I38" s="253"/>
    </row>
    <row r="39" spans="1:10" ht="45">
      <c r="A39" s="252" t="s">
        <v>144</v>
      </c>
      <c r="B39" s="115" t="s">
        <v>50</v>
      </c>
      <c r="C39" s="5" t="s">
        <v>156</v>
      </c>
      <c r="D39" s="116" t="s">
        <v>13</v>
      </c>
      <c r="E39" s="120">
        <v>7.76</v>
      </c>
      <c r="F39" s="117"/>
      <c r="G39" s="124"/>
      <c r="H39" s="119"/>
      <c r="I39" s="253"/>
    </row>
    <row r="40" spans="1:10" ht="60">
      <c r="A40" s="252" t="s">
        <v>145</v>
      </c>
      <c r="B40" s="115" t="s">
        <v>49</v>
      </c>
      <c r="C40" s="5" t="s">
        <v>156</v>
      </c>
      <c r="D40" s="116" t="s">
        <v>13</v>
      </c>
      <c r="E40" s="120">
        <v>33.340000000000003</v>
      </c>
      <c r="F40" s="117"/>
      <c r="G40" s="124"/>
      <c r="H40" s="119"/>
      <c r="I40" s="253"/>
    </row>
    <row r="41" spans="1:10">
      <c r="A41" s="255"/>
      <c r="B41" s="123"/>
      <c r="C41" s="16"/>
      <c r="D41" s="17"/>
      <c r="E41" s="123"/>
      <c r="F41" s="20"/>
      <c r="G41" s="20"/>
      <c r="H41" s="20"/>
      <c r="I41" s="256"/>
    </row>
    <row r="42" spans="1:10">
      <c r="A42" s="250">
        <v>6</v>
      </c>
      <c r="B42" s="32" t="s">
        <v>11</v>
      </c>
      <c r="C42" s="33"/>
      <c r="D42" s="34"/>
      <c r="E42" s="35"/>
      <c r="F42" s="39"/>
      <c r="G42" s="39"/>
      <c r="H42" s="40"/>
      <c r="I42" s="251"/>
      <c r="J42" s="133"/>
    </row>
    <row r="43" spans="1:10" ht="30">
      <c r="A43" s="252" t="s">
        <v>146</v>
      </c>
      <c r="B43" s="115" t="s">
        <v>12</v>
      </c>
      <c r="C43" s="5" t="s">
        <v>25</v>
      </c>
      <c r="D43" s="116" t="s">
        <v>13</v>
      </c>
      <c r="E43" s="112">
        <f>2*0.36</f>
        <v>0.72</v>
      </c>
      <c r="F43" s="117"/>
      <c r="G43" s="124"/>
      <c r="H43" s="119"/>
      <c r="I43" s="253"/>
    </row>
    <row r="44" spans="1:10" ht="30">
      <c r="A44" s="252" t="s">
        <v>147</v>
      </c>
      <c r="B44" s="115" t="s">
        <v>0</v>
      </c>
      <c r="C44" s="5" t="s">
        <v>24</v>
      </c>
      <c r="D44" s="116" t="s">
        <v>13</v>
      </c>
      <c r="E44" s="112">
        <f>2*1.26</f>
        <v>2.52</v>
      </c>
      <c r="F44" s="25"/>
      <c r="G44" s="25"/>
      <c r="H44" s="117"/>
      <c r="I44" s="253"/>
    </row>
    <row r="45" spans="1:10" ht="45">
      <c r="A45" s="252" t="s">
        <v>316</v>
      </c>
      <c r="B45" s="115" t="s">
        <v>3</v>
      </c>
      <c r="C45" s="5" t="s">
        <v>26</v>
      </c>
      <c r="D45" s="116" t="s">
        <v>14</v>
      </c>
      <c r="E45" s="112">
        <v>6</v>
      </c>
      <c r="F45" s="25"/>
      <c r="G45" s="25"/>
      <c r="H45" s="117"/>
      <c r="I45" s="253"/>
    </row>
    <row r="46" spans="1:10" ht="45">
      <c r="A46" s="252" t="s">
        <v>317</v>
      </c>
      <c r="B46" s="115" t="s">
        <v>65</v>
      </c>
      <c r="C46" s="5" t="s">
        <v>27</v>
      </c>
      <c r="D46" s="116" t="s">
        <v>14</v>
      </c>
      <c r="E46" s="112">
        <v>2</v>
      </c>
      <c r="F46" s="117"/>
      <c r="G46" s="124"/>
      <c r="H46" s="119"/>
      <c r="I46" s="253"/>
    </row>
    <row r="47" spans="1:10" ht="45">
      <c r="A47" s="252" t="s">
        <v>318</v>
      </c>
      <c r="B47" s="115" t="s">
        <v>66</v>
      </c>
      <c r="C47" s="5" t="s">
        <v>28</v>
      </c>
      <c r="D47" s="116" t="s">
        <v>14</v>
      </c>
      <c r="E47" s="112">
        <v>1</v>
      </c>
      <c r="F47" s="117"/>
      <c r="G47" s="124"/>
      <c r="H47" s="119"/>
      <c r="I47" s="253"/>
    </row>
    <row r="48" spans="1:10">
      <c r="A48" s="252"/>
      <c r="B48" s="115"/>
      <c r="C48" s="5"/>
      <c r="D48" s="116"/>
      <c r="E48" s="6"/>
      <c r="F48" s="117"/>
      <c r="G48" s="117"/>
      <c r="H48" s="117"/>
      <c r="I48" s="257"/>
    </row>
    <row r="49" spans="1:10">
      <c r="A49" s="250">
        <v>7</v>
      </c>
      <c r="B49" s="32" t="s">
        <v>114</v>
      </c>
      <c r="C49" s="33"/>
      <c r="D49" s="34"/>
      <c r="E49" s="35"/>
      <c r="F49" s="35"/>
      <c r="G49" s="35"/>
      <c r="H49" s="36"/>
      <c r="I49" s="251"/>
      <c r="J49" s="133"/>
    </row>
    <row r="50" spans="1:10" ht="30">
      <c r="A50" s="252" t="s">
        <v>148</v>
      </c>
      <c r="B50" s="115" t="s">
        <v>107</v>
      </c>
      <c r="C50" s="5" t="s">
        <v>117</v>
      </c>
      <c r="D50" s="116" t="s">
        <v>14</v>
      </c>
      <c r="E50" s="112">
        <v>1</v>
      </c>
      <c r="F50" s="25"/>
      <c r="G50" s="25"/>
      <c r="H50" s="117"/>
      <c r="I50" s="253"/>
    </row>
    <row r="51" spans="1:10" ht="75">
      <c r="A51" s="252" t="s">
        <v>149</v>
      </c>
      <c r="B51" s="115" t="s">
        <v>108</v>
      </c>
      <c r="C51" s="5" t="s">
        <v>155</v>
      </c>
      <c r="D51" s="116" t="s">
        <v>14</v>
      </c>
      <c r="E51" s="112">
        <v>4</v>
      </c>
      <c r="F51" s="25"/>
      <c r="G51" s="25"/>
      <c r="H51" s="117"/>
      <c r="I51" s="253"/>
    </row>
    <row r="52" spans="1:10" ht="60">
      <c r="A52" s="252" t="s">
        <v>150</v>
      </c>
      <c r="B52" s="115" t="s">
        <v>109</v>
      </c>
      <c r="C52" s="5"/>
      <c r="D52" s="116" t="s">
        <v>23</v>
      </c>
      <c r="E52" s="112">
        <v>33</v>
      </c>
      <c r="F52" s="25"/>
      <c r="G52" s="25"/>
      <c r="H52" s="6"/>
      <c r="I52" s="253"/>
    </row>
    <row r="53" spans="1:10" ht="45">
      <c r="A53" s="252" t="s">
        <v>151</v>
      </c>
      <c r="B53" s="115" t="s">
        <v>110</v>
      </c>
      <c r="C53" s="5"/>
      <c r="D53" s="116" t="s">
        <v>23</v>
      </c>
      <c r="E53" s="112">
        <v>47.4</v>
      </c>
      <c r="F53" s="25"/>
      <c r="G53" s="25"/>
      <c r="H53" s="6"/>
      <c r="I53" s="253"/>
    </row>
    <row r="54" spans="1:10">
      <c r="A54" s="255"/>
      <c r="B54" s="123"/>
      <c r="C54" s="16"/>
      <c r="D54" s="17"/>
      <c r="E54" s="18"/>
      <c r="F54" s="18"/>
      <c r="G54" s="18"/>
      <c r="H54" s="18"/>
      <c r="I54" s="258"/>
    </row>
    <row r="55" spans="1:10">
      <c r="A55" s="250">
        <v>8</v>
      </c>
      <c r="B55" s="32" t="s">
        <v>68</v>
      </c>
      <c r="C55" s="33"/>
      <c r="D55" s="34"/>
      <c r="E55" s="35"/>
      <c r="F55" s="39"/>
      <c r="G55" s="39"/>
      <c r="H55" s="40"/>
      <c r="I55" s="251"/>
      <c r="J55" s="133"/>
    </row>
    <row r="56" spans="1:10" ht="45">
      <c r="A56" s="114" t="s">
        <v>152</v>
      </c>
      <c r="B56" s="115" t="s">
        <v>464</v>
      </c>
      <c r="C56" s="234" t="s">
        <v>469</v>
      </c>
      <c r="D56" s="116" t="s">
        <v>14</v>
      </c>
      <c r="E56" s="112">
        <v>1</v>
      </c>
      <c r="F56" s="117"/>
      <c r="G56" s="124"/>
      <c r="H56" s="119"/>
      <c r="I56" s="253"/>
    </row>
    <row r="57" spans="1:10" ht="60">
      <c r="A57" s="114" t="s">
        <v>319</v>
      </c>
      <c r="B57" s="115" t="s">
        <v>466</v>
      </c>
      <c r="C57" s="5" t="s">
        <v>467</v>
      </c>
      <c r="D57" s="116" t="s">
        <v>14</v>
      </c>
      <c r="E57" s="112">
        <v>2</v>
      </c>
      <c r="F57" s="117"/>
      <c r="G57" s="124"/>
      <c r="H57" s="119"/>
      <c r="I57" s="253"/>
    </row>
    <row r="58" spans="1:10" ht="30">
      <c r="A58" s="114" t="s">
        <v>320</v>
      </c>
      <c r="B58" s="115" t="s">
        <v>69</v>
      </c>
      <c r="C58" s="5" t="s">
        <v>115</v>
      </c>
      <c r="D58" s="116" t="s">
        <v>14</v>
      </c>
      <c r="E58" s="6">
        <v>12</v>
      </c>
      <c r="F58" s="77"/>
      <c r="G58" s="124"/>
      <c r="H58" s="119"/>
      <c r="I58" s="253"/>
    </row>
    <row r="59" spans="1:10" ht="30">
      <c r="A59" s="114" t="s">
        <v>321</v>
      </c>
      <c r="B59" s="115" t="s">
        <v>446</v>
      </c>
      <c r="C59" s="5" t="s">
        <v>447</v>
      </c>
      <c r="D59" s="116" t="s">
        <v>14</v>
      </c>
      <c r="E59" s="6">
        <v>1</v>
      </c>
      <c r="F59" s="77"/>
      <c r="G59" s="124"/>
      <c r="H59" s="119"/>
      <c r="I59" s="253"/>
    </row>
    <row r="60" spans="1:10" ht="30">
      <c r="A60" s="114" t="s">
        <v>322</v>
      </c>
      <c r="B60" s="115" t="s">
        <v>470</v>
      </c>
      <c r="C60" s="5" t="s">
        <v>447</v>
      </c>
      <c r="D60" s="116" t="s">
        <v>14</v>
      </c>
      <c r="E60" s="6">
        <v>2</v>
      </c>
      <c r="F60" s="77"/>
      <c r="G60" s="124"/>
      <c r="H60" s="119"/>
      <c r="I60" s="253"/>
    </row>
    <row r="61" spans="1:10" ht="30">
      <c r="A61" s="114" t="s">
        <v>323</v>
      </c>
      <c r="B61" s="115" t="s">
        <v>70</v>
      </c>
      <c r="C61" s="234" t="s">
        <v>116</v>
      </c>
      <c r="D61" s="116" t="s">
        <v>14</v>
      </c>
      <c r="E61" s="6">
        <v>1</v>
      </c>
      <c r="F61" s="77"/>
      <c r="G61" s="124"/>
      <c r="H61" s="119"/>
      <c r="I61" s="253"/>
    </row>
    <row r="62" spans="1:10" ht="45">
      <c r="A62" s="114" t="s">
        <v>324</v>
      </c>
      <c r="B62" s="115" t="s">
        <v>474</v>
      </c>
      <c r="C62" s="5" t="s">
        <v>71</v>
      </c>
      <c r="D62" s="116" t="s">
        <v>23</v>
      </c>
      <c r="E62" s="6">
        <v>60</v>
      </c>
      <c r="F62" s="77"/>
      <c r="G62" s="124"/>
      <c r="H62" s="119"/>
      <c r="I62" s="253"/>
    </row>
    <row r="63" spans="1:10" ht="45">
      <c r="A63" s="114" t="s">
        <v>325</v>
      </c>
      <c r="B63" s="115" t="s">
        <v>475</v>
      </c>
      <c r="C63" s="5" t="s">
        <v>72</v>
      </c>
      <c r="D63" s="116" t="s">
        <v>23</v>
      </c>
      <c r="E63" s="6">
        <v>540</v>
      </c>
      <c r="F63" s="77"/>
      <c r="G63" s="124"/>
      <c r="H63" s="119"/>
      <c r="I63" s="253"/>
    </row>
    <row r="64" spans="1:10" ht="45">
      <c r="A64" s="114" t="s">
        <v>326</v>
      </c>
      <c r="B64" s="115" t="s">
        <v>476</v>
      </c>
      <c r="C64" s="5" t="s">
        <v>73</v>
      </c>
      <c r="D64" s="116" t="s">
        <v>23</v>
      </c>
      <c r="E64" s="6">
        <v>110</v>
      </c>
      <c r="F64" s="229"/>
      <c r="G64" s="124"/>
      <c r="H64" s="119"/>
      <c r="I64" s="253"/>
    </row>
    <row r="65" spans="1:9" ht="45">
      <c r="A65" s="114" t="s">
        <v>327</v>
      </c>
      <c r="B65" s="115" t="s">
        <v>481</v>
      </c>
      <c r="C65" s="5" t="s">
        <v>453</v>
      </c>
      <c r="D65" s="116" t="s">
        <v>23</v>
      </c>
      <c r="E65" s="6">
        <v>65</v>
      </c>
      <c r="F65" s="229"/>
      <c r="G65" s="124"/>
      <c r="H65" s="119"/>
      <c r="I65" s="253"/>
    </row>
    <row r="66" spans="1:9" ht="45">
      <c r="A66" s="114" t="s">
        <v>328</v>
      </c>
      <c r="B66" s="115" t="s">
        <v>482</v>
      </c>
      <c r="C66" s="5" t="s">
        <v>455</v>
      </c>
      <c r="D66" s="116" t="s">
        <v>23</v>
      </c>
      <c r="E66" s="6">
        <v>250</v>
      </c>
      <c r="F66" s="117"/>
      <c r="G66" s="124"/>
      <c r="H66" s="119"/>
      <c r="I66" s="253"/>
    </row>
    <row r="67" spans="1:9" ht="75">
      <c r="A67" s="114" t="s">
        <v>329</v>
      </c>
      <c r="B67" s="115" t="s">
        <v>171</v>
      </c>
      <c r="C67" s="5" t="s">
        <v>170</v>
      </c>
      <c r="D67" s="116" t="s">
        <v>14</v>
      </c>
      <c r="E67" s="126">
        <v>30</v>
      </c>
      <c r="F67" s="25"/>
      <c r="G67" s="25"/>
      <c r="H67" s="117"/>
      <c r="I67" s="253"/>
    </row>
    <row r="68" spans="1:9" ht="75">
      <c r="A68" s="114" t="s">
        <v>330</v>
      </c>
      <c r="B68" s="115" t="s">
        <v>79</v>
      </c>
      <c r="C68" s="5" t="s">
        <v>77</v>
      </c>
      <c r="D68" s="116" t="s">
        <v>23</v>
      </c>
      <c r="E68" s="126">
        <v>24.96</v>
      </c>
      <c r="F68" s="25"/>
      <c r="G68" s="25"/>
      <c r="H68" s="117"/>
      <c r="I68" s="253"/>
    </row>
    <row r="69" spans="1:9" ht="75">
      <c r="A69" s="114" t="s">
        <v>331</v>
      </c>
      <c r="B69" s="115" t="s">
        <v>74</v>
      </c>
      <c r="C69" s="5" t="s">
        <v>78</v>
      </c>
      <c r="D69" s="116" t="s">
        <v>23</v>
      </c>
      <c r="E69" s="112">
        <v>44.68</v>
      </c>
      <c r="F69" s="117"/>
      <c r="G69" s="124"/>
      <c r="H69" s="119"/>
      <c r="I69" s="253"/>
    </row>
    <row r="70" spans="1:9">
      <c r="A70" s="114" t="s">
        <v>332</v>
      </c>
      <c r="B70" s="6" t="s">
        <v>80</v>
      </c>
      <c r="C70" s="5" t="s">
        <v>82</v>
      </c>
      <c r="D70" s="116" t="s">
        <v>14</v>
      </c>
      <c r="E70" s="112">
        <v>25</v>
      </c>
      <c r="F70" s="117"/>
      <c r="G70" s="124"/>
      <c r="H70" s="119"/>
      <c r="I70" s="253"/>
    </row>
    <row r="71" spans="1:9">
      <c r="A71" s="114" t="s">
        <v>333</v>
      </c>
      <c r="B71" s="6" t="s">
        <v>81</v>
      </c>
      <c r="C71" s="5" t="s">
        <v>83</v>
      </c>
      <c r="D71" s="116" t="s">
        <v>14</v>
      </c>
      <c r="E71" s="112">
        <v>27</v>
      </c>
      <c r="F71" s="117"/>
      <c r="G71" s="124"/>
      <c r="H71" s="119"/>
      <c r="I71" s="253"/>
    </row>
    <row r="72" spans="1:9">
      <c r="A72" s="114" t="s">
        <v>334</v>
      </c>
      <c r="B72" s="115" t="s">
        <v>84</v>
      </c>
      <c r="C72" s="5" t="s">
        <v>89</v>
      </c>
      <c r="D72" s="116" t="s">
        <v>14</v>
      </c>
      <c r="E72" s="112">
        <v>5</v>
      </c>
      <c r="F72" s="117"/>
      <c r="G72" s="124"/>
      <c r="H72" s="119"/>
      <c r="I72" s="253"/>
    </row>
    <row r="73" spans="1:9" ht="30">
      <c r="A73" s="114" t="s">
        <v>335</v>
      </c>
      <c r="B73" s="115" t="s">
        <v>85</v>
      </c>
      <c r="C73" s="5" t="s">
        <v>87</v>
      </c>
      <c r="D73" s="116" t="s">
        <v>14</v>
      </c>
      <c r="E73" s="112">
        <v>6</v>
      </c>
      <c r="F73" s="117"/>
      <c r="G73" s="124"/>
      <c r="H73" s="119"/>
      <c r="I73" s="253"/>
    </row>
    <row r="74" spans="1:9" ht="30">
      <c r="A74" s="114" t="s">
        <v>336</v>
      </c>
      <c r="B74" s="115" t="s">
        <v>86</v>
      </c>
      <c r="C74" s="5" t="s">
        <v>88</v>
      </c>
      <c r="D74" s="116" t="s">
        <v>14</v>
      </c>
      <c r="E74" s="112">
        <v>1</v>
      </c>
      <c r="F74" s="117"/>
      <c r="G74" s="124"/>
      <c r="H74" s="119"/>
      <c r="I74" s="253"/>
    </row>
    <row r="75" spans="1:9" ht="45">
      <c r="A75" s="114" t="s">
        <v>337</v>
      </c>
      <c r="B75" s="115" t="s">
        <v>94</v>
      </c>
      <c r="C75" s="5" t="s">
        <v>96</v>
      </c>
      <c r="D75" s="116" t="s">
        <v>14</v>
      </c>
      <c r="E75" s="112">
        <v>23</v>
      </c>
      <c r="F75" s="117"/>
      <c r="G75" s="124"/>
      <c r="H75" s="119"/>
      <c r="I75" s="253"/>
    </row>
    <row r="76" spans="1:9" ht="30">
      <c r="A76" s="114" t="s">
        <v>338</v>
      </c>
      <c r="B76" s="115" t="s">
        <v>95</v>
      </c>
      <c r="C76" s="5" t="s">
        <v>97</v>
      </c>
      <c r="D76" s="116" t="s">
        <v>14</v>
      </c>
      <c r="E76" s="112">
        <v>3</v>
      </c>
      <c r="F76" s="117"/>
      <c r="G76" s="124"/>
      <c r="H76" s="119"/>
      <c r="I76" s="253"/>
    </row>
    <row r="77" spans="1:9" ht="30">
      <c r="A77" s="114" t="s">
        <v>339</v>
      </c>
      <c r="B77" s="115" t="s">
        <v>98</v>
      </c>
      <c r="C77" s="5" t="s">
        <v>100</v>
      </c>
      <c r="D77" s="116" t="s">
        <v>14</v>
      </c>
      <c r="E77" s="112">
        <v>10</v>
      </c>
      <c r="F77" s="117"/>
      <c r="G77" s="124"/>
      <c r="H77" s="119"/>
      <c r="I77" s="253"/>
    </row>
    <row r="78" spans="1:9" ht="30">
      <c r="A78" s="114" t="s">
        <v>340</v>
      </c>
      <c r="B78" s="115" t="s">
        <v>99</v>
      </c>
      <c r="C78" s="5" t="s">
        <v>101</v>
      </c>
      <c r="D78" s="116" t="s">
        <v>14</v>
      </c>
      <c r="E78" s="112">
        <v>2</v>
      </c>
      <c r="F78" s="25"/>
      <c r="G78" s="25"/>
      <c r="H78" s="117"/>
      <c r="I78" s="253"/>
    </row>
    <row r="79" spans="1:9" ht="60">
      <c r="A79" s="114" t="s">
        <v>341</v>
      </c>
      <c r="B79" s="115" t="s">
        <v>75</v>
      </c>
      <c r="C79" s="5" t="s">
        <v>102</v>
      </c>
      <c r="D79" s="116" t="s">
        <v>14</v>
      </c>
      <c r="E79" s="112">
        <v>15</v>
      </c>
      <c r="F79" s="117"/>
      <c r="G79" s="124"/>
      <c r="H79" s="119"/>
      <c r="I79" s="253"/>
    </row>
    <row r="80" spans="1:9" ht="30">
      <c r="A80" s="114" t="s">
        <v>459</v>
      </c>
      <c r="B80" s="115" t="s">
        <v>76</v>
      </c>
      <c r="C80" s="116" t="s">
        <v>103</v>
      </c>
      <c r="D80" s="116" t="s">
        <v>23</v>
      </c>
      <c r="E80" s="112">
        <v>59.83</v>
      </c>
      <c r="F80" s="117"/>
      <c r="G80" s="124"/>
      <c r="H80" s="119"/>
      <c r="I80" s="253"/>
    </row>
    <row r="81" spans="1:10" ht="30">
      <c r="A81" s="114" t="s">
        <v>460</v>
      </c>
      <c r="B81" s="115" t="s">
        <v>76</v>
      </c>
      <c r="C81" s="116" t="s">
        <v>104</v>
      </c>
      <c r="D81" s="116" t="s">
        <v>23</v>
      </c>
      <c r="E81" s="112">
        <v>33.96</v>
      </c>
      <c r="F81" s="117"/>
      <c r="G81" s="124"/>
      <c r="H81" s="119"/>
      <c r="I81" s="253"/>
    </row>
    <row r="82" spans="1:10" ht="30">
      <c r="A82" s="114" t="s">
        <v>461</v>
      </c>
      <c r="B82" s="115" t="s">
        <v>76</v>
      </c>
      <c r="C82" s="116" t="s">
        <v>105</v>
      </c>
      <c r="D82" s="116" t="s">
        <v>23</v>
      </c>
      <c r="E82" s="112">
        <v>65.34</v>
      </c>
      <c r="F82" s="117"/>
      <c r="G82" s="124"/>
      <c r="H82" s="119"/>
      <c r="I82" s="253"/>
    </row>
    <row r="83" spans="1:10" ht="30">
      <c r="A83" s="114" t="s">
        <v>462</v>
      </c>
      <c r="B83" s="115" t="s">
        <v>76</v>
      </c>
      <c r="C83" s="116" t="s">
        <v>106</v>
      </c>
      <c r="D83" s="116" t="s">
        <v>23</v>
      </c>
      <c r="E83" s="115">
        <v>9.98</v>
      </c>
      <c r="F83" s="117"/>
      <c r="G83" s="124"/>
      <c r="H83" s="119"/>
      <c r="I83" s="253"/>
    </row>
    <row r="84" spans="1:10" ht="45">
      <c r="A84" s="114" t="s">
        <v>463</v>
      </c>
      <c r="B84" s="120" t="s">
        <v>112</v>
      </c>
      <c r="C84" s="5" t="s">
        <v>113</v>
      </c>
      <c r="D84" s="116" t="s">
        <v>23</v>
      </c>
      <c r="E84" s="123">
        <v>169.10999999999999</v>
      </c>
      <c r="F84" s="20"/>
      <c r="G84" s="124"/>
      <c r="H84" s="119"/>
      <c r="I84" s="253"/>
    </row>
    <row r="85" spans="1:10">
      <c r="A85" s="114" t="s">
        <v>472</v>
      </c>
      <c r="B85" s="113" t="s">
        <v>450</v>
      </c>
      <c r="C85" s="16" t="s">
        <v>451</v>
      </c>
      <c r="D85" s="17" t="s">
        <v>14</v>
      </c>
      <c r="E85" s="123">
        <v>3</v>
      </c>
      <c r="F85" s="20"/>
      <c r="G85" s="279"/>
      <c r="H85" s="280"/>
      <c r="I85" s="258"/>
    </row>
    <row r="86" spans="1:10">
      <c r="A86" s="255"/>
      <c r="B86" s="18"/>
      <c r="C86" s="16"/>
      <c r="D86" s="17"/>
      <c r="E86" s="18"/>
      <c r="F86" s="20"/>
      <c r="G86" s="20"/>
      <c r="H86" s="20"/>
      <c r="I86" s="256"/>
    </row>
    <row r="87" spans="1:10">
      <c r="A87" s="250">
        <v>9</v>
      </c>
      <c r="B87" s="32" t="s">
        <v>15</v>
      </c>
      <c r="C87" s="33"/>
      <c r="D87" s="34"/>
      <c r="E87" s="35"/>
      <c r="F87" s="39"/>
      <c r="G87" s="39"/>
      <c r="H87" s="40"/>
      <c r="I87" s="251"/>
      <c r="J87" s="133"/>
    </row>
    <row r="88" spans="1:10">
      <c r="A88" s="252"/>
      <c r="B88" s="9" t="s">
        <v>17</v>
      </c>
      <c r="C88" s="23"/>
      <c r="D88" s="17"/>
      <c r="E88" s="18"/>
      <c r="F88" s="20"/>
      <c r="G88" s="20"/>
      <c r="H88" s="24"/>
      <c r="I88" s="259"/>
    </row>
    <row r="89" spans="1:10">
      <c r="A89" s="252"/>
      <c r="B89" s="10" t="s">
        <v>22</v>
      </c>
      <c r="C89" s="23"/>
      <c r="D89" s="17"/>
      <c r="E89" s="18"/>
      <c r="F89" s="20"/>
      <c r="G89" s="20"/>
      <c r="H89" s="20"/>
      <c r="I89" s="258"/>
    </row>
    <row r="90" spans="1:10" ht="30">
      <c r="A90" s="252" t="s">
        <v>176</v>
      </c>
      <c r="B90" s="115" t="s">
        <v>1</v>
      </c>
      <c r="C90" s="5" t="s">
        <v>30</v>
      </c>
      <c r="D90" s="116" t="s">
        <v>23</v>
      </c>
      <c r="E90" s="112">
        <v>6.25</v>
      </c>
      <c r="F90" s="117"/>
      <c r="G90" s="124"/>
      <c r="H90" s="119"/>
      <c r="I90" s="253"/>
    </row>
    <row r="91" spans="1:10" ht="30">
      <c r="A91" s="252" t="s">
        <v>178</v>
      </c>
      <c r="B91" s="115" t="s">
        <v>1</v>
      </c>
      <c r="C91" s="5" t="s">
        <v>31</v>
      </c>
      <c r="D91" s="116" t="s">
        <v>23</v>
      </c>
      <c r="E91" s="112">
        <v>36.57</v>
      </c>
      <c r="F91" s="117"/>
      <c r="G91" s="124"/>
      <c r="H91" s="119"/>
      <c r="I91" s="253"/>
    </row>
    <row r="92" spans="1:10">
      <c r="A92" s="252"/>
      <c r="B92" s="10" t="s">
        <v>18</v>
      </c>
      <c r="C92" s="23"/>
      <c r="D92" s="17"/>
      <c r="E92" s="18"/>
      <c r="F92" s="20"/>
      <c r="G92" s="20"/>
      <c r="H92" s="20"/>
      <c r="I92" s="256"/>
    </row>
    <row r="93" spans="1:10" ht="30">
      <c r="A93" s="252" t="s">
        <v>179</v>
      </c>
      <c r="B93" s="115" t="s">
        <v>59</v>
      </c>
      <c r="C93" s="5" t="s">
        <v>60</v>
      </c>
      <c r="D93" s="116" t="s">
        <v>14</v>
      </c>
      <c r="E93" s="112">
        <v>7</v>
      </c>
      <c r="F93" s="117"/>
      <c r="G93" s="124"/>
      <c r="H93" s="119"/>
      <c r="I93" s="253"/>
    </row>
    <row r="94" spans="1:10" ht="30">
      <c r="A94" s="252" t="s">
        <v>180</v>
      </c>
      <c r="B94" s="115" t="s">
        <v>57</v>
      </c>
      <c r="C94" s="5" t="s">
        <v>58</v>
      </c>
      <c r="D94" s="116" t="s">
        <v>14</v>
      </c>
      <c r="E94" s="112">
        <v>2</v>
      </c>
      <c r="F94" s="117"/>
      <c r="G94" s="124"/>
      <c r="H94" s="119"/>
      <c r="I94" s="253"/>
    </row>
    <row r="95" spans="1:10" ht="30">
      <c r="A95" s="252" t="s">
        <v>342</v>
      </c>
      <c r="B95" s="115" t="s">
        <v>55</v>
      </c>
      <c r="C95" s="5" t="s">
        <v>56</v>
      </c>
      <c r="D95" s="116" t="s">
        <v>14</v>
      </c>
      <c r="E95" s="112">
        <v>1</v>
      </c>
      <c r="F95" s="117"/>
      <c r="G95" s="124"/>
      <c r="H95" s="119"/>
      <c r="I95" s="253"/>
    </row>
    <row r="96" spans="1:10" ht="30">
      <c r="A96" s="252" t="s">
        <v>343</v>
      </c>
      <c r="B96" s="115" t="s">
        <v>61</v>
      </c>
      <c r="C96" s="5" t="s">
        <v>62</v>
      </c>
      <c r="D96" s="116" t="s">
        <v>14</v>
      </c>
      <c r="E96" s="112">
        <v>2</v>
      </c>
      <c r="F96" s="117"/>
      <c r="G96" s="124"/>
      <c r="H96" s="119"/>
      <c r="I96" s="253"/>
    </row>
    <row r="97" spans="1:9">
      <c r="A97" s="255"/>
      <c r="B97" s="123"/>
      <c r="C97" s="16"/>
      <c r="D97" s="17"/>
      <c r="E97" s="18"/>
      <c r="F97" s="20"/>
      <c r="G97" s="20"/>
      <c r="H97" s="20"/>
      <c r="I97" s="258"/>
    </row>
    <row r="98" spans="1:9">
      <c r="A98" s="252"/>
      <c r="B98" s="9" t="s">
        <v>16</v>
      </c>
      <c r="C98" s="23"/>
      <c r="D98" s="17"/>
      <c r="E98" s="18"/>
      <c r="F98" s="20"/>
      <c r="G98" s="20"/>
      <c r="H98" s="24"/>
      <c r="I98" s="259"/>
    </row>
    <row r="99" spans="1:9">
      <c r="A99" s="252"/>
      <c r="B99" s="10" t="s">
        <v>22</v>
      </c>
      <c r="C99" s="23"/>
      <c r="D99" s="17"/>
      <c r="E99" s="18"/>
      <c r="F99" s="20"/>
      <c r="G99" s="20"/>
      <c r="H99" s="20"/>
      <c r="I99" s="256"/>
    </row>
    <row r="100" spans="1:9" ht="30">
      <c r="A100" s="252" t="s">
        <v>344</v>
      </c>
      <c r="B100" s="115" t="s">
        <v>2</v>
      </c>
      <c r="C100" s="5" t="s">
        <v>32</v>
      </c>
      <c r="D100" s="116" t="s">
        <v>23</v>
      </c>
      <c r="E100" s="112">
        <v>13.3</v>
      </c>
      <c r="F100" s="117"/>
      <c r="G100" s="124"/>
      <c r="H100" s="119"/>
      <c r="I100" s="253"/>
    </row>
    <row r="101" spans="1:9" ht="30">
      <c r="A101" s="252" t="s">
        <v>345</v>
      </c>
      <c r="B101" s="115" t="s">
        <v>2</v>
      </c>
      <c r="C101" s="5" t="s">
        <v>33</v>
      </c>
      <c r="D101" s="116" t="s">
        <v>23</v>
      </c>
      <c r="E101" s="112">
        <v>3.43</v>
      </c>
      <c r="F101" s="117"/>
      <c r="G101" s="124"/>
      <c r="H101" s="119"/>
      <c r="I101" s="253"/>
    </row>
    <row r="102" spans="1:9" ht="30">
      <c r="A102" s="252" t="s">
        <v>346</v>
      </c>
      <c r="B102" s="115" t="s">
        <v>2</v>
      </c>
      <c r="C102" s="5" t="s">
        <v>34</v>
      </c>
      <c r="D102" s="116" t="s">
        <v>23</v>
      </c>
      <c r="E102" s="112">
        <v>33.39</v>
      </c>
      <c r="F102" s="117"/>
      <c r="G102" s="124"/>
      <c r="H102" s="119"/>
      <c r="I102" s="253"/>
    </row>
    <row r="103" spans="1:9">
      <c r="A103" s="252"/>
      <c r="B103" s="10" t="s">
        <v>18</v>
      </c>
      <c r="C103" s="23"/>
      <c r="D103" s="17"/>
      <c r="E103" s="18"/>
      <c r="F103" s="20"/>
      <c r="G103" s="20"/>
      <c r="H103" s="20"/>
      <c r="I103" s="256"/>
    </row>
    <row r="104" spans="1:9" ht="30">
      <c r="A104" s="252" t="s">
        <v>347</v>
      </c>
      <c r="B104" s="115" t="s">
        <v>36</v>
      </c>
      <c r="C104" s="5" t="s">
        <v>37</v>
      </c>
      <c r="D104" s="116" t="s">
        <v>14</v>
      </c>
      <c r="E104" s="112">
        <v>1</v>
      </c>
      <c r="F104" s="117"/>
      <c r="G104" s="124"/>
      <c r="H104" s="119"/>
      <c r="I104" s="253"/>
    </row>
    <row r="105" spans="1:9" ht="30">
      <c r="A105" s="252" t="s">
        <v>348</v>
      </c>
      <c r="B105" s="115" t="s">
        <v>36</v>
      </c>
      <c r="C105" s="5" t="s">
        <v>38</v>
      </c>
      <c r="D105" s="116" t="s">
        <v>14</v>
      </c>
      <c r="E105" s="112">
        <v>1</v>
      </c>
      <c r="F105" s="117"/>
      <c r="G105" s="124"/>
      <c r="H105" s="119"/>
      <c r="I105" s="253"/>
    </row>
    <row r="106" spans="1:9" ht="45">
      <c r="A106" s="252" t="s">
        <v>349</v>
      </c>
      <c r="B106" s="115" t="s">
        <v>39</v>
      </c>
      <c r="C106" s="5" t="s">
        <v>40</v>
      </c>
      <c r="D106" s="116" t="s">
        <v>14</v>
      </c>
      <c r="E106" s="112">
        <v>2</v>
      </c>
      <c r="F106" s="117"/>
      <c r="G106" s="124"/>
      <c r="H106" s="119"/>
      <c r="I106" s="253"/>
    </row>
    <row r="107" spans="1:9" ht="30">
      <c r="A107" s="252" t="s">
        <v>350</v>
      </c>
      <c r="B107" s="115" t="s">
        <v>43</v>
      </c>
      <c r="C107" s="5" t="s">
        <v>41</v>
      </c>
      <c r="D107" s="116" t="s">
        <v>14</v>
      </c>
      <c r="E107" s="112">
        <v>4</v>
      </c>
      <c r="F107" s="117"/>
      <c r="G107" s="124"/>
      <c r="H107" s="119"/>
      <c r="I107" s="253"/>
    </row>
    <row r="108" spans="1:9" ht="30">
      <c r="A108" s="252" t="s">
        <v>351</v>
      </c>
      <c r="B108" s="115" t="s">
        <v>63</v>
      </c>
      <c r="C108" s="5" t="s">
        <v>42</v>
      </c>
      <c r="D108" s="116" t="s">
        <v>14</v>
      </c>
      <c r="E108" s="112">
        <v>2</v>
      </c>
      <c r="F108" s="117"/>
      <c r="G108" s="124"/>
      <c r="H108" s="119"/>
      <c r="I108" s="253"/>
    </row>
    <row r="109" spans="1:9" ht="45">
      <c r="A109" s="252" t="s">
        <v>352</v>
      </c>
      <c r="B109" s="115" t="s">
        <v>44</v>
      </c>
      <c r="C109" s="5" t="s">
        <v>40</v>
      </c>
      <c r="D109" s="116" t="s">
        <v>14</v>
      </c>
      <c r="E109" s="112">
        <v>4</v>
      </c>
      <c r="F109" s="117"/>
      <c r="G109" s="124"/>
      <c r="H109" s="119"/>
      <c r="I109" s="253"/>
    </row>
    <row r="110" spans="1:9" ht="45">
      <c r="A110" s="252" t="s">
        <v>353</v>
      </c>
      <c r="B110" s="115" t="s">
        <v>45</v>
      </c>
      <c r="C110" s="5" t="s">
        <v>46</v>
      </c>
      <c r="D110" s="116" t="s">
        <v>14</v>
      </c>
      <c r="E110" s="112">
        <v>1</v>
      </c>
      <c r="F110" s="117"/>
      <c r="G110" s="124"/>
      <c r="H110" s="119"/>
      <c r="I110" s="253"/>
    </row>
    <row r="111" spans="1:9" ht="45">
      <c r="A111" s="252" t="s">
        <v>354</v>
      </c>
      <c r="B111" s="115" t="s">
        <v>64</v>
      </c>
      <c r="C111" s="5" t="s">
        <v>47</v>
      </c>
      <c r="D111" s="116" t="s">
        <v>14</v>
      </c>
      <c r="E111" s="112">
        <v>3</v>
      </c>
      <c r="F111" s="117"/>
      <c r="G111" s="124"/>
      <c r="H111" s="119"/>
      <c r="I111" s="253"/>
    </row>
    <row r="112" spans="1:9">
      <c r="A112" s="252"/>
      <c r="B112" s="123"/>
      <c r="C112" s="16"/>
      <c r="D112" s="17"/>
      <c r="E112" s="18"/>
      <c r="F112" s="20"/>
      <c r="G112" s="20"/>
      <c r="H112" s="20"/>
      <c r="I112" s="256"/>
    </row>
    <row r="113" spans="1:10">
      <c r="A113" s="250">
        <v>10</v>
      </c>
      <c r="B113" s="32" t="s">
        <v>48</v>
      </c>
      <c r="C113" s="33"/>
      <c r="D113" s="34"/>
      <c r="E113" s="35"/>
      <c r="F113" s="39"/>
      <c r="G113" s="39"/>
      <c r="H113" s="40"/>
      <c r="I113" s="251"/>
      <c r="J113" s="133"/>
    </row>
    <row r="114" spans="1:10" ht="30">
      <c r="A114" s="252" t="s">
        <v>355</v>
      </c>
      <c r="B114" s="115" t="s">
        <v>21</v>
      </c>
      <c r="C114" s="5" t="s">
        <v>154</v>
      </c>
      <c r="D114" s="116" t="s">
        <v>14</v>
      </c>
      <c r="E114" s="112">
        <v>1</v>
      </c>
      <c r="F114" s="117"/>
      <c r="G114" s="124"/>
      <c r="H114" s="119"/>
      <c r="I114" s="253"/>
    </row>
    <row r="115" spans="1:10" ht="45">
      <c r="A115" s="252" t="s">
        <v>362</v>
      </c>
      <c r="B115" s="115" t="s">
        <v>52</v>
      </c>
      <c r="C115" s="5" t="s">
        <v>93</v>
      </c>
      <c r="D115" s="116" t="s">
        <v>14</v>
      </c>
      <c r="E115" s="112">
        <v>2</v>
      </c>
      <c r="F115" s="117"/>
      <c r="G115" s="124"/>
      <c r="H115" s="119"/>
      <c r="I115" s="253"/>
    </row>
    <row r="116" spans="1:10" ht="45">
      <c r="A116" s="252" t="s">
        <v>363</v>
      </c>
      <c r="B116" s="115" t="s">
        <v>53</v>
      </c>
      <c r="C116" s="5" t="s">
        <v>92</v>
      </c>
      <c r="D116" s="116" t="s">
        <v>14</v>
      </c>
      <c r="E116" s="112">
        <v>2</v>
      </c>
      <c r="F116" s="117"/>
      <c r="G116" s="124"/>
      <c r="H116" s="119"/>
      <c r="I116" s="253"/>
    </row>
    <row r="117" spans="1:10" ht="45">
      <c r="A117" s="252" t="s">
        <v>364</v>
      </c>
      <c r="B117" s="115" t="s">
        <v>54</v>
      </c>
      <c r="C117" s="5" t="s">
        <v>91</v>
      </c>
      <c r="D117" s="116" t="s">
        <v>14</v>
      </c>
      <c r="E117" s="112">
        <v>1</v>
      </c>
      <c r="F117" s="117"/>
      <c r="G117" s="124"/>
      <c r="H117" s="119"/>
      <c r="I117" s="253"/>
    </row>
    <row r="118" spans="1:10">
      <c r="A118" s="255"/>
      <c r="B118" s="123"/>
      <c r="C118" s="16"/>
      <c r="D118" s="17"/>
      <c r="E118" s="18"/>
      <c r="F118" s="20"/>
      <c r="G118" s="20"/>
      <c r="H118" s="20"/>
      <c r="I118" s="256"/>
    </row>
    <row r="119" spans="1:10">
      <c r="A119" s="250">
        <v>11</v>
      </c>
      <c r="B119" s="32" t="s">
        <v>19</v>
      </c>
      <c r="C119" s="33"/>
      <c r="D119" s="34"/>
      <c r="E119" s="35"/>
      <c r="F119" s="39"/>
      <c r="G119" s="39"/>
      <c r="H119" s="40"/>
      <c r="I119" s="251"/>
      <c r="J119" s="133"/>
    </row>
    <row r="120" spans="1:10" ht="60">
      <c r="A120" s="260" t="s">
        <v>356</v>
      </c>
      <c r="B120" s="11" t="s">
        <v>20</v>
      </c>
      <c r="C120" s="12" t="s">
        <v>153</v>
      </c>
      <c r="D120" s="13" t="s">
        <v>14</v>
      </c>
      <c r="E120" s="125">
        <v>1</v>
      </c>
      <c r="F120" s="15"/>
      <c r="G120" s="124"/>
      <c r="H120" s="119"/>
      <c r="I120" s="253"/>
    </row>
    <row r="121" spans="1:10">
      <c r="A121" s="245"/>
      <c r="B121" s="108"/>
      <c r="C121" s="110"/>
      <c r="D121" s="109"/>
      <c r="E121" s="77"/>
      <c r="F121" s="77"/>
      <c r="G121" s="77"/>
      <c r="H121" s="77"/>
      <c r="I121" s="246"/>
    </row>
    <row r="122" spans="1:10">
      <c r="A122" s="250">
        <v>12</v>
      </c>
      <c r="B122" s="32" t="s">
        <v>175</v>
      </c>
      <c r="C122" s="33"/>
      <c r="D122" s="34"/>
      <c r="E122" s="35"/>
      <c r="F122" s="39"/>
      <c r="G122" s="39"/>
      <c r="H122" s="40"/>
      <c r="I122" s="251"/>
      <c r="J122" s="133"/>
    </row>
    <row r="123" spans="1:10" ht="60">
      <c r="A123" s="255" t="s">
        <v>357</v>
      </c>
      <c r="B123" s="123" t="s">
        <v>371</v>
      </c>
      <c r="C123" s="16"/>
      <c r="D123" s="116" t="s">
        <v>13</v>
      </c>
      <c r="E123" s="113">
        <f>E124</f>
        <v>82.2</v>
      </c>
      <c r="F123" s="20"/>
      <c r="G123" s="124"/>
      <c r="H123" s="119"/>
      <c r="I123" s="253"/>
    </row>
    <row r="124" spans="1:10" ht="60">
      <c r="A124" s="255" t="s">
        <v>358</v>
      </c>
      <c r="B124" s="115" t="s">
        <v>177</v>
      </c>
      <c r="C124" s="5"/>
      <c r="D124" s="116" t="s">
        <v>13</v>
      </c>
      <c r="E124" s="112">
        <f>(E39+E40)*2</f>
        <v>82.2</v>
      </c>
      <c r="F124" s="117"/>
      <c r="G124" s="124"/>
      <c r="H124" s="119"/>
      <c r="I124" s="253"/>
    </row>
    <row r="125" spans="1:10">
      <c r="A125" s="255" t="s">
        <v>359</v>
      </c>
      <c r="B125" s="115" t="s">
        <v>181</v>
      </c>
      <c r="C125" s="5"/>
      <c r="D125" s="116" t="s">
        <v>13</v>
      </c>
      <c r="E125" s="112">
        <v>82.2</v>
      </c>
      <c r="F125" s="117"/>
      <c r="G125" s="124"/>
      <c r="H125" s="119"/>
      <c r="I125" s="253"/>
    </row>
    <row r="126" spans="1:10" ht="30">
      <c r="A126" s="255" t="s">
        <v>360</v>
      </c>
      <c r="B126" s="115" t="s">
        <v>182</v>
      </c>
      <c r="C126" s="5"/>
      <c r="D126" s="116" t="s">
        <v>13</v>
      </c>
      <c r="E126" s="112">
        <v>82.2</v>
      </c>
      <c r="F126" s="117"/>
      <c r="G126" s="124"/>
      <c r="H126" s="119"/>
      <c r="I126" s="253"/>
    </row>
    <row r="127" spans="1:10" ht="30">
      <c r="A127" s="255" t="s">
        <v>361</v>
      </c>
      <c r="B127" s="115" t="s">
        <v>183</v>
      </c>
      <c r="C127" s="5"/>
      <c r="D127" s="116" t="s">
        <v>13</v>
      </c>
      <c r="E127" s="112">
        <f>4.5*3</f>
        <v>13.5</v>
      </c>
      <c r="F127" s="117"/>
      <c r="G127" s="124"/>
      <c r="H127" s="119"/>
      <c r="I127" s="253"/>
    </row>
    <row r="128" spans="1:10">
      <c r="A128" s="252"/>
      <c r="B128" s="115"/>
      <c r="C128" s="5"/>
      <c r="D128" s="116"/>
      <c r="E128" s="112"/>
      <c r="F128" s="117"/>
      <c r="G128" s="124"/>
      <c r="H128" s="119"/>
      <c r="I128" s="253"/>
    </row>
    <row r="129" spans="1:10">
      <c r="A129" s="250">
        <v>13</v>
      </c>
      <c r="B129" s="32" t="s">
        <v>307</v>
      </c>
      <c r="C129" s="33"/>
      <c r="D129" s="34"/>
      <c r="E129" s="35"/>
      <c r="F129" s="39"/>
      <c r="G129" s="39"/>
      <c r="H129" s="40"/>
      <c r="I129" s="251"/>
      <c r="J129" s="133"/>
    </row>
    <row r="130" spans="1:10">
      <c r="A130" s="252" t="s">
        <v>365</v>
      </c>
      <c r="B130" s="115" t="s">
        <v>249</v>
      </c>
      <c r="C130" s="5"/>
      <c r="D130" s="116" t="s">
        <v>13</v>
      </c>
      <c r="E130" s="112">
        <v>215.07</v>
      </c>
      <c r="F130" s="117"/>
      <c r="G130" s="124"/>
      <c r="H130" s="119"/>
      <c r="I130" s="253"/>
    </row>
    <row r="131" spans="1:10" ht="30">
      <c r="A131" s="252" t="s">
        <v>366</v>
      </c>
      <c r="B131" s="115" t="s">
        <v>192</v>
      </c>
      <c r="C131" s="5"/>
      <c r="D131" s="116" t="s">
        <v>23</v>
      </c>
      <c r="E131" s="112">
        <f>E90+E91+E100+E101</f>
        <v>59.550000000000004</v>
      </c>
      <c r="F131" s="117"/>
      <c r="G131" s="124"/>
      <c r="H131" s="119"/>
      <c r="I131" s="253"/>
    </row>
    <row r="132" spans="1:10">
      <c r="A132" s="252" t="s">
        <v>367</v>
      </c>
      <c r="B132" s="115" t="s">
        <v>251</v>
      </c>
      <c r="C132" s="5"/>
      <c r="D132" s="116" t="s">
        <v>190</v>
      </c>
      <c r="E132" s="112">
        <v>1</v>
      </c>
      <c r="F132" s="117"/>
      <c r="G132" s="124"/>
      <c r="H132" s="119"/>
      <c r="I132" s="253"/>
    </row>
    <row r="133" spans="1:10">
      <c r="A133" s="252" t="s">
        <v>368</v>
      </c>
      <c r="B133" s="115" t="s">
        <v>252</v>
      </c>
      <c r="C133" s="5"/>
      <c r="D133" s="116" t="s">
        <v>190</v>
      </c>
      <c r="E133" s="112">
        <v>1</v>
      </c>
      <c r="F133" s="117"/>
      <c r="G133" s="124"/>
      <c r="H133" s="119"/>
      <c r="I133" s="253"/>
    </row>
    <row r="134" spans="1:10" ht="30">
      <c r="A134" s="252" t="s">
        <v>369</v>
      </c>
      <c r="B134" s="115" t="s">
        <v>373</v>
      </c>
      <c r="C134" s="5"/>
      <c r="D134" s="116" t="s">
        <v>374</v>
      </c>
      <c r="E134" s="112">
        <v>10</v>
      </c>
      <c r="F134" s="126"/>
      <c r="G134" s="124"/>
      <c r="H134" s="119"/>
      <c r="I134" s="253"/>
    </row>
    <row r="135" spans="1:10">
      <c r="A135" s="252" t="s">
        <v>370</v>
      </c>
      <c r="B135" s="115" t="s">
        <v>196</v>
      </c>
      <c r="C135" s="5"/>
      <c r="D135" s="116" t="s">
        <v>13</v>
      </c>
      <c r="E135" s="112">
        <v>215.07</v>
      </c>
      <c r="F135" s="117"/>
      <c r="G135" s="124"/>
      <c r="H135" s="119"/>
      <c r="I135" s="253"/>
    </row>
    <row r="136" spans="1:10">
      <c r="A136" s="260"/>
      <c r="B136" s="11"/>
      <c r="C136" s="12"/>
      <c r="D136" s="13"/>
      <c r="E136" s="14"/>
      <c r="F136" s="15"/>
      <c r="G136" s="124"/>
      <c r="H136" s="119"/>
      <c r="I136" s="253"/>
    </row>
    <row r="137" spans="1:10">
      <c r="A137" s="261"/>
      <c r="B137" s="64"/>
      <c r="C137" s="65"/>
      <c r="D137" s="66"/>
      <c r="E137" s="67"/>
      <c r="F137" s="68"/>
      <c r="G137" s="69"/>
      <c r="H137" s="70"/>
      <c r="I137" s="262"/>
    </row>
    <row r="138" spans="1:10" s="22" customFormat="1">
      <c r="A138" s="263" t="s">
        <v>131</v>
      </c>
      <c r="B138" s="42" t="s">
        <v>158</v>
      </c>
      <c r="C138" s="43"/>
      <c r="D138" s="44" t="s">
        <v>67</v>
      </c>
      <c r="E138" s="52"/>
      <c r="F138" s="53"/>
      <c r="G138" s="53"/>
      <c r="H138" s="54"/>
      <c r="I138" s="264">
        <f>I9+I18+I26+I28+I37+I42+I49+I55+I87+I113+I119+I122+I129</f>
        <v>0</v>
      </c>
      <c r="J138" s="179"/>
    </row>
    <row r="139" spans="1:10">
      <c r="A139" s="245"/>
      <c r="B139" s="108"/>
      <c r="C139" s="110"/>
      <c r="D139" s="109"/>
      <c r="E139" s="77"/>
      <c r="F139" s="77"/>
      <c r="G139" s="77"/>
      <c r="H139" s="77"/>
      <c r="I139" s="246"/>
    </row>
    <row r="140" spans="1:10">
      <c r="A140" s="265" t="s">
        <v>132</v>
      </c>
      <c r="B140" s="49" t="s">
        <v>129</v>
      </c>
      <c r="C140" s="50"/>
      <c r="D140" s="51" t="s">
        <v>13</v>
      </c>
      <c r="E140" s="49">
        <v>215.47</v>
      </c>
      <c r="F140" s="55"/>
      <c r="G140" s="56"/>
      <c r="H140" s="56"/>
      <c r="I140" s="266"/>
    </row>
    <row r="141" spans="1:10">
      <c r="A141" s="267"/>
      <c r="B141" s="225"/>
      <c r="C141" s="226"/>
      <c r="D141" s="227"/>
      <c r="E141" s="221"/>
      <c r="F141" s="221"/>
      <c r="G141" s="221"/>
      <c r="H141" s="221"/>
      <c r="I141" s="268"/>
    </row>
    <row r="142" spans="1:10" ht="15.75" thickBot="1">
      <c r="A142" s="269" t="s">
        <v>159</v>
      </c>
      <c r="B142" s="270" t="s">
        <v>160</v>
      </c>
      <c r="C142" s="271" t="s">
        <v>133</v>
      </c>
      <c r="D142" s="272" t="s">
        <v>130</v>
      </c>
      <c r="E142" s="273"/>
      <c r="F142" s="274"/>
      <c r="G142" s="275"/>
      <c r="H142" s="276">
        <f>TRUNC(I138/E140,2)</f>
        <v>0</v>
      </c>
      <c r="I142" s="277"/>
    </row>
  </sheetData>
  <mergeCells count="1">
    <mergeCell ref="A2:I2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41"/>
  <sheetViews>
    <sheetView topLeftCell="C1" workbookViewId="0">
      <selection activeCell="T46" sqref="T46"/>
    </sheetView>
  </sheetViews>
  <sheetFormatPr defaultRowHeight="15"/>
  <cols>
    <col min="1" max="1" width="15.7109375" style="218" bestFit="1" customWidth="1"/>
    <col min="2" max="2" width="65.42578125" style="108" customWidth="1"/>
    <col min="3" max="3" width="15.85546875" style="110" customWidth="1"/>
    <col min="4" max="4" width="7.42578125" style="109" customWidth="1"/>
    <col min="5" max="5" width="12.28515625" style="77" customWidth="1"/>
    <col min="6" max="6" width="14.28515625" style="77" customWidth="1"/>
    <col min="7" max="8" width="12.28515625" style="77" customWidth="1"/>
    <col min="9" max="9" width="17.5703125" style="77" bestFit="1" customWidth="1"/>
    <col min="10" max="10" width="24.140625" style="77" customWidth="1"/>
    <col min="11" max="11" width="15.7109375" style="75" customWidth="1"/>
    <col min="12" max="61" width="15.7109375" style="77" customWidth="1"/>
    <col min="62" max="16384" width="9.140625" style="77"/>
  </cols>
  <sheetData>
    <row r="1" spans="1:21" s="205" customFormat="1">
      <c r="A1" s="201"/>
      <c r="B1" s="202"/>
      <c r="C1" s="203"/>
      <c r="D1" s="204"/>
      <c r="K1" s="206"/>
      <c r="R1" s="207"/>
    </row>
    <row r="2" spans="1:21" s="215" customFormat="1" ht="18.75">
      <c r="A2" s="307" t="s">
        <v>488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308"/>
    </row>
    <row r="3" spans="1:21" ht="18.75">
      <c r="A3" s="208" t="s">
        <v>444</v>
      </c>
      <c r="B3" s="309" t="s">
        <v>443</v>
      </c>
      <c r="C3" s="309"/>
      <c r="D3" s="309"/>
      <c r="E3" s="309"/>
      <c r="F3" s="309"/>
      <c r="G3" s="309"/>
      <c r="H3" s="309"/>
      <c r="I3" s="309"/>
      <c r="J3" s="309"/>
      <c r="K3" s="309"/>
      <c r="R3" s="209"/>
      <c r="T3" s="230"/>
    </row>
    <row r="4" spans="1:21">
      <c r="A4" s="208" t="s">
        <v>161</v>
      </c>
      <c r="B4" s="210"/>
      <c r="R4" s="209"/>
    </row>
    <row r="5" spans="1:21">
      <c r="A5" s="208" t="s">
        <v>169</v>
      </c>
      <c r="B5" s="211"/>
      <c r="R5" s="209"/>
    </row>
    <row r="6" spans="1:21">
      <c r="A6" s="212" t="s">
        <v>162</v>
      </c>
      <c r="B6" s="195" t="s">
        <v>163</v>
      </c>
      <c r="C6" s="196"/>
      <c r="D6" s="194"/>
      <c r="E6" s="197"/>
      <c r="F6" s="197"/>
      <c r="G6" s="197"/>
      <c r="H6" s="197"/>
      <c r="I6" s="197"/>
      <c r="J6" s="197"/>
      <c r="K6" s="213"/>
      <c r="L6" s="197"/>
      <c r="M6" s="197"/>
      <c r="N6" s="197"/>
      <c r="O6" s="197"/>
      <c r="P6" s="197"/>
      <c r="Q6" s="197"/>
      <c r="R6" s="214"/>
    </row>
    <row r="7" spans="1:21" ht="45">
      <c r="A7" s="27" t="s">
        <v>6</v>
      </c>
      <c r="B7" s="28" t="s">
        <v>7</v>
      </c>
      <c r="C7" s="28" t="s">
        <v>90</v>
      </c>
      <c r="D7" s="29" t="s">
        <v>8</v>
      </c>
      <c r="E7" s="29" t="s">
        <v>9</v>
      </c>
      <c r="F7" s="28" t="s">
        <v>173</v>
      </c>
      <c r="G7" s="28" t="s">
        <v>164</v>
      </c>
      <c r="H7" s="28" t="s">
        <v>111</v>
      </c>
      <c r="I7" s="28" t="s">
        <v>165</v>
      </c>
      <c r="J7" s="186" t="s">
        <v>10</v>
      </c>
      <c r="K7" s="306" t="s">
        <v>184</v>
      </c>
      <c r="L7" s="306"/>
      <c r="M7" s="306" t="s">
        <v>187</v>
      </c>
      <c r="N7" s="306"/>
      <c r="O7" s="306" t="s">
        <v>186</v>
      </c>
      <c r="P7" s="306"/>
      <c r="Q7" s="306" t="s">
        <v>185</v>
      </c>
      <c r="R7" s="306"/>
      <c r="T7" s="75"/>
    </row>
    <row r="8" spans="1:21">
      <c r="A8" s="180"/>
      <c r="B8" s="181"/>
      <c r="C8" s="182"/>
      <c r="D8" s="183"/>
      <c r="E8" s="183"/>
      <c r="F8" s="184"/>
      <c r="G8" s="184"/>
      <c r="H8" s="185"/>
      <c r="I8" s="181"/>
      <c r="J8" s="182"/>
      <c r="K8" s="187" t="s">
        <v>441</v>
      </c>
      <c r="L8" s="188" t="s">
        <v>442</v>
      </c>
      <c r="M8" s="187" t="s">
        <v>441</v>
      </c>
      <c r="N8" s="188" t="s">
        <v>442</v>
      </c>
      <c r="O8" s="187" t="s">
        <v>441</v>
      </c>
      <c r="P8" s="188" t="s">
        <v>442</v>
      </c>
      <c r="Q8" s="187" t="s">
        <v>441</v>
      </c>
      <c r="R8" s="188" t="s">
        <v>442</v>
      </c>
      <c r="T8" s="75"/>
    </row>
    <row r="9" spans="1:21">
      <c r="A9" s="31">
        <v>1</v>
      </c>
      <c r="B9" s="32" t="s">
        <v>305</v>
      </c>
      <c r="C9" s="33"/>
      <c r="D9" s="34"/>
      <c r="E9" s="35"/>
      <c r="F9" s="35"/>
      <c r="G9" s="35"/>
      <c r="H9" s="36"/>
      <c r="I9" s="37">
        <f>SUM(I11:I16)</f>
        <v>54648</v>
      </c>
      <c r="J9" s="38"/>
      <c r="K9" s="198"/>
      <c r="L9" s="199"/>
      <c r="M9" s="198"/>
      <c r="N9" s="199"/>
      <c r="O9" s="198"/>
      <c r="P9" s="199"/>
      <c r="Q9" s="198"/>
      <c r="R9" s="199"/>
      <c r="S9" s="216"/>
      <c r="T9" s="217">
        <f>I9/I$138</f>
        <v>0.2263558467701739</v>
      </c>
    </row>
    <row r="10" spans="1:21" s="75" customFormat="1">
      <c r="A10" s="114"/>
      <c r="B10" s="107" t="s">
        <v>280</v>
      </c>
      <c r="C10" s="5"/>
      <c r="D10" s="116"/>
      <c r="E10" s="6" t="s">
        <v>257</v>
      </c>
      <c r="F10" s="117"/>
      <c r="G10" s="124"/>
      <c r="H10" s="119"/>
      <c r="I10" s="117"/>
      <c r="J10" s="118"/>
      <c r="K10" s="190"/>
      <c r="L10" s="189"/>
      <c r="M10" s="190"/>
      <c r="N10" s="189"/>
      <c r="O10" s="190"/>
      <c r="P10" s="189"/>
      <c r="Q10" s="190"/>
      <c r="R10" s="189"/>
      <c r="S10" s="216"/>
    </row>
    <row r="11" spans="1:21" s="75" customFormat="1">
      <c r="A11" s="114"/>
      <c r="B11" s="107" t="s">
        <v>306</v>
      </c>
      <c r="C11" s="5"/>
      <c r="D11" s="116"/>
      <c r="E11" s="6"/>
      <c r="F11" s="117"/>
      <c r="G11" s="124"/>
      <c r="H11" s="117"/>
      <c r="I11" s="117"/>
      <c r="J11" s="118"/>
      <c r="K11" s="190"/>
      <c r="L11" s="189"/>
      <c r="M11" s="190"/>
      <c r="N11" s="189"/>
      <c r="O11" s="190"/>
      <c r="P11" s="189"/>
      <c r="Q11" s="190"/>
      <c r="R11" s="189"/>
      <c r="S11" s="216"/>
    </row>
    <row r="12" spans="1:21">
      <c r="A12" s="114" t="s">
        <v>457</v>
      </c>
      <c r="B12" s="115" t="s">
        <v>279</v>
      </c>
      <c r="C12" s="5"/>
      <c r="D12" s="116" t="s">
        <v>258</v>
      </c>
      <c r="E12" s="6">
        <f>220*4*1</f>
        <v>880</v>
      </c>
      <c r="F12" s="117">
        <v>11.72</v>
      </c>
      <c r="G12" s="124">
        <v>0.2555</v>
      </c>
      <c r="H12" s="117">
        <f t="shared" ref="H12:H24" si="0">TRUNC(F12*(1+G12),2)</f>
        <v>14.71</v>
      </c>
      <c r="I12" s="117">
        <f t="shared" ref="I12:I24" si="1">TRUNC(E12*H12,2)</f>
        <v>12944.8</v>
      </c>
      <c r="J12" s="118" t="s">
        <v>259</v>
      </c>
      <c r="K12" s="190">
        <v>0.25</v>
      </c>
      <c r="L12" s="189"/>
      <c r="M12" s="190">
        <v>0.25</v>
      </c>
      <c r="N12" s="189"/>
      <c r="O12" s="190">
        <v>0.25</v>
      </c>
      <c r="P12" s="189"/>
      <c r="Q12" s="190">
        <v>0.25</v>
      </c>
      <c r="R12" s="189"/>
      <c r="S12" s="216">
        <f t="shared" ref="S12:S76" si="2">SUM(K12+M12+O12+Q12)</f>
        <v>1</v>
      </c>
      <c r="T12" s="75"/>
      <c r="U12" s="111">
        <f>SUM(L12+N12+P12+R12)</f>
        <v>0</v>
      </c>
    </row>
    <row r="13" spans="1:21">
      <c r="A13" s="114" t="s">
        <v>311</v>
      </c>
      <c r="B13" s="115" t="s">
        <v>260</v>
      </c>
      <c r="C13" s="5"/>
      <c r="D13" s="116" t="s">
        <v>258</v>
      </c>
      <c r="E13" s="6">
        <f>220*4*1</f>
        <v>880</v>
      </c>
      <c r="F13" s="117">
        <v>19.32</v>
      </c>
      <c r="G13" s="124">
        <v>0.2555</v>
      </c>
      <c r="H13" s="117">
        <f t="shared" si="0"/>
        <v>24.25</v>
      </c>
      <c r="I13" s="117">
        <f t="shared" si="1"/>
        <v>21340</v>
      </c>
      <c r="J13" s="118" t="s">
        <v>438</v>
      </c>
      <c r="K13" s="190">
        <v>0.25</v>
      </c>
      <c r="L13" s="189"/>
      <c r="M13" s="190">
        <v>0.25</v>
      </c>
      <c r="N13" s="189"/>
      <c r="O13" s="190">
        <v>0.25</v>
      </c>
      <c r="P13" s="189"/>
      <c r="Q13" s="190">
        <v>0.25</v>
      </c>
      <c r="R13" s="189"/>
      <c r="S13" s="216">
        <f t="shared" si="2"/>
        <v>1</v>
      </c>
      <c r="T13" s="75"/>
      <c r="U13" s="111">
        <f>SUM(L13+N13+P13+R13)</f>
        <v>0</v>
      </c>
    </row>
    <row r="14" spans="1:21" s="75" customFormat="1">
      <c r="A14" s="114"/>
      <c r="B14" s="107" t="s">
        <v>261</v>
      </c>
      <c r="C14" s="5"/>
      <c r="D14" s="116"/>
      <c r="E14" s="6"/>
      <c r="F14" s="117"/>
      <c r="G14" s="124"/>
      <c r="H14" s="117"/>
      <c r="I14" s="117"/>
      <c r="J14" s="118"/>
      <c r="K14" s="190"/>
      <c r="L14" s="189"/>
      <c r="M14" s="190"/>
      <c r="N14" s="189"/>
      <c r="O14" s="190"/>
      <c r="P14" s="189"/>
      <c r="Q14" s="190"/>
      <c r="R14" s="189"/>
      <c r="S14" s="216"/>
      <c r="U14" s="111"/>
    </row>
    <row r="15" spans="1:21">
      <c r="A15" s="114" t="s">
        <v>458</v>
      </c>
      <c r="B15" s="115" t="s">
        <v>436</v>
      </c>
      <c r="C15" s="5"/>
      <c r="D15" s="116" t="s">
        <v>258</v>
      </c>
      <c r="E15" s="6">
        <v>880</v>
      </c>
      <c r="F15" s="117">
        <v>10.84</v>
      </c>
      <c r="G15" s="124">
        <v>0.2555</v>
      </c>
      <c r="H15" s="117">
        <f t="shared" si="0"/>
        <v>13.6</v>
      </c>
      <c r="I15" s="117">
        <f t="shared" si="1"/>
        <v>11968</v>
      </c>
      <c r="J15" s="118" t="s">
        <v>262</v>
      </c>
      <c r="K15" s="190">
        <v>0.25</v>
      </c>
      <c r="L15" s="189"/>
      <c r="M15" s="190">
        <v>0.25</v>
      </c>
      <c r="N15" s="189"/>
      <c r="O15" s="190">
        <v>0.25</v>
      </c>
      <c r="P15" s="189"/>
      <c r="Q15" s="190">
        <v>0.25</v>
      </c>
      <c r="R15" s="189"/>
      <c r="S15" s="216">
        <f t="shared" si="2"/>
        <v>1</v>
      </c>
      <c r="T15" s="75"/>
      <c r="U15" s="111">
        <f t="shared" ref="U15:U78" si="3">SUM(L15+N15+P15+R15)</f>
        <v>0</v>
      </c>
    </row>
    <row r="16" spans="1:21">
      <c r="A16" s="114" t="s">
        <v>312</v>
      </c>
      <c r="B16" s="115" t="s">
        <v>437</v>
      </c>
      <c r="C16" s="5"/>
      <c r="D16" s="116" t="s">
        <v>258</v>
      </c>
      <c r="E16" s="6">
        <v>880</v>
      </c>
      <c r="F16" s="117">
        <v>7.6</v>
      </c>
      <c r="G16" s="124">
        <v>0.2555</v>
      </c>
      <c r="H16" s="117">
        <f t="shared" si="0"/>
        <v>9.5399999999999991</v>
      </c>
      <c r="I16" s="117">
        <f t="shared" si="1"/>
        <v>8395.2000000000007</v>
      </c>
      <c r="J16" s="118" t="s">
        <v>263</v>
      </c>
      <c r="K16" s="190">
        <v>0.25</v>
      </c>
      <c r="L16" s="189"/>
      <c r="M16" s="190">
        <v>0.25</v>
      </c>
      <c r="N16" s="189"/>
      <c r="O16" s="190">
        <v>0.25</v>
      </c>
      <c r="P16" s="189"/>
      <c r="Q16" s="190">
        <v>0.25</v>
      </c>
      <c r="R16" s="189"/>
      <c r="S16" s="216">
        <f t="shared" si="2"/>
        <v>1</v>
      </c>
      <c r="T16" s="75"/>
      <c r="U16" s="111">
        <f t="shared" si="3"/>
        <v>0</v>
      </c>
    </row>
    <row r="17" spans="1:21" s="75" customFormat="1">
      <c r="A17" s="114"/>
      <c r="B17" s="115"/>
      <c r="C17" s="5"/>
      <c r="D17" s="116"/>
      <c r="E17" s="6"/>
      <c r="F17" s="117"/>
      <c r="G17" s="124"/>
      <c r="H17" s="117"/>
      <c r="I17" s="117"/>
      <c r="J17" s="118"/>
      <c r="K17" s="190"/>
      <c r="L17" s="190"/>
      <c r="M17" s="190"/>
      <c r="N17" s="190"/>
      <c r="O17" s="190"/>
      <c r="P17" s="190"/>
      <c r="Q17" s="190"/>
      <c r="R17" s="190"/>
      <c r="S17" s="216"/>
      <c r="U17" s="111"/>
    </row>
    <row r="18" spans="1:21">
      <c r="A18" s="31">
        <v>2</v>
      </c>
      <c r="B18" s="32" t="s">
        <v>264</v>
      </c>
      <c r="C18" s="33"/>
      <c r="D18" s="34"/>
      <c r="E18" s="35"/>
      <c r="F18" s="35"/>
      <c r="G18" s="35"/>
      <c r="H18" s="36"/>
      <c r="I18" s="37">
        <f>SUM(I19:I24)</f>
        <v>14770.07</v>
      </c>
      <c r="J18" s="38"/>
      <c r="K18" s="198"/>
      <c r="L18" s="198"/>
      <c r="M18" s="198"/>
      <c r="N18" s="198"/>
      <c r="O18" s="198"/>
      <c r="P18" s="198"/>
      <c r="Q18" s="198"/>
      <c r="R18" s="198"/>
      <c r="S18" s="216"/>
      <c r="T18" s="217">
        <f>I18/I$138</f>
        <v>6.1178665307142846E-2</v>
      </c>
      <c r="U18" s="111"/>
    </row>
    <row r="19" spans="1:21">
      <c r="A19" s="114" t="s">
        <v>265</v>
      </c>
      <c r="B19" s="115" t="s">
        <v>266</v>
      </c>
      <c r="C19" s="5"/>
      <c r="D19" s="116" t="s">
        <v>267</v>
      </c>
      <c r="E19" s="6">
        <v>1</v>
      </c>
      <c r="F19" s="117">
        <v>63.5</v>
      </c>
      <c r="G19" s="124">
        <v>0.2555</v>
      </c>
      <c r="H19" s="117">
        <f t="shared" si="0"/>
        <v>79.72</v>
      </c>
      <c r="I19" s="117">
        <f t="shared" si="1"/>
        <v>79.72</v>
      </c>
      <c r="J19" s="118" t="s">
        <v>268</v>
      </c>
      <c r="K19" s="190">
        <v>1</v>
      </c>
      <c r="L19" s="189"/>
      <c r="M19" s="190">
        <v>0</v>
      </c>
      <c r="N19" s="189"/>
      <c r="O19" s="190">
        <v>0</v>
      </c>
      <c r="P19" s="189"/>
      <c r="Q19" s="190">
        <v>0</v>
      </c>
      <c r="R19" s="189"/>
      <c r="S19" s="216">
        <f t="shared" si="2"/>
        <v>1</v>
      </c>
      <c r="T19" s="75"/>
      <c r="U19" s="111">
        <f t="shared" si="3"/>
        <v>0</v>
      </c>
    </row>
    <row r="20" spans="1:21">
      <c r="A20" s="114" t="s">
        <v>313</v>
      </c>
      <c r="B20" s="115" t="s">
        <v>378</v>
      </c>
      <c r="C20" s="5"/>
      <c r="D20" s="116" t="s">
        <v>377</v>
      </c>
      <c r="E20" s="6">
        <v>1</v>
      </c>
      <c r="F20" s="126">
        <f>COMPOSIÇÕES!H6</f>
        <v>753.6400000000001</v>
      </c>
      <c r="G20" s="124">
        <v>0.2555</v>
      </c>
      <c r="H20" s="117">
        <f t="shared" si="0"/>
        <v>946.19</v>
      </c>
      <c r="I20" s="117">
        <f t="shared" si="1"/>
        <v>946.19</v>
      </c>
      <c r="J20" s="118" t="s">
        <v>270</v>
      </c>
      <c r="K20" s="190">
        <v>0.5</v>
      </c>
      <c r="L20" s="189"/>
      <c r="M20" s="190">
        <v>0</v>
      </c>
      <c r="N20" s="189"/>
      <c r="O20" s="190">
        <v>0.5</v>
      </c>
      <c r="P20" s="189"/>
      <c r="Q20" s="190">
        <v>0</v>
      </c>
      <c r="R20" s="189"/>
      <c r="S20" s="216">
        <f t="shared" si="2"/>
        <v>1</v>
      </c>
      <c r="T20" s="75"/>
      <c r="U20" s="111">
        <f t="shared" si="3"/>
        <v>0</v>
      </c>
    </row>
    <row r="21" spans="1:21">
      <c r="A21" s="114" t="s">
        <v>271</v>
      </c>
      <c r="B21" s="115" t="s">
        <v>275</v>
      </c>
      <c r="C21" s="5"/>
      <c r="D21" s="116" t="s">
        <v>269</v>
      </c>
      <c r="E21" s="6">
        <v>4</v>
      </c>
      <c r="F21" s="126">
        <f>COMPOSIÇÕES!H15</f>
        <v>1760</v>
      </c>
      <c r="G21" s="124">
        <v>0.2555</v>
      </c>
      <c r="H21" s="117">
        <f t="shared" si="0"/>
        <v>2209.6799999999998</v>
      </c>
      <c r="I21" s="117">
        <f t="shared" si="1"/>
        <v>8838.7199999999993</v>
      </c>
      <c r="J21" s="118" t="s">
        <v>270</v>
      </c>
      <c r="K21" s="190">
        <v>0.25</v>
      </c>
      <c r="L21" s="189"/>
      <c r="M21" s="190">
        <v>0.25</v>
      </c>
      <c r="N21" s="189"/>
      <c r="O21" s="190">
        <v>0.25</v>
      </c>
      <c r="P21" s="189"/>
      <c r="Q21" s="190">
        <v>0.25</v>
      </c>
      <c r="R21" s="189"/>
      <c r="S21" s="216">
        <f t="shared" si="2"/>
        <v>1</v>
      </c>
      <c r="T21" s="75"/>
      <c r="U21" s="111">
        <f t="shared" si="3"/>
        <v>0</v>
      </c>
    </row>
    <row r="22" spans="1:21">
      <c r="A22" s="114" t="s">
        <v>272</v>
      </c>
      <c r="B22" s="115" t="s">
        <v>276</v>
      </c>
      <c r="C22" s="5"/>
      <c r="D22" s="116" t="s">
        <v>269</v>
      </c>
      <c r="E22" s="6">
        <v>4</v>
      </c>
      <c r="F22" s="126">
        <f>COMPOSIÇÕES!H17</f>
        <v>158.4</v>
      </c>
      <c r="G22" s="124">
        <v>0.2555</v>
      </c>
      <c r="H22" s="117">
        <f t="shared" si="0"/>
        <v>198.87</v>
      </c>
      <c r="I22" s="117">
        <f t="shared" si="1"/>
        <v>795.48</v>
      </c>
      <c r="J22" s="118" t="s">
        <v>270</v>
      </c>
      <c r="K22" s="190">
        <v>1</v>
      </c>
      <c r="L22" s="189"/>
      <c r="M22" s="190">
        <v>0</v>
      </c>
      <c r="N22" s="189"/>
      <c r="O22" s="190">
        <v>0</v>
      </c>
      <c r="P22" s="189"/>
      <c r="Q22" s="190">
        <v>0</v>
      </c>
      <c r="R22" s="189"/>
      <c r="S22" s="216">
        <f t="shared" si="2"/>
        <v>1</v>
      </c>
      <c r="T22" s="75"/>
      <c r="U22" s="111">
        <f t="shared" si="3"/>
        <v>0</v>
      </c>
    </row>
    <row r="23" spans="1:21">
      <c r="A23" s="114" t="s">
        <v>273</v>
      </c>
      <c r="B23" s="115" t="s">
        <v>277</v>
      </c>
      <c r="C23" s="5"/>
      <c r="D23" s="116" t="s">
        <v>269</v>
      </c>
      <c r="E23" s="6">
        <v>4</v>
      </c>
      <c r="F23" s="126">
        <f>COMPOSIÇÕES!H19</f>
        <v>712.80000000000007</v>
      </c>
      <c r="G23" s="124">
        <v>0.2555</v>
      </c>
      <c r="H23" s="117">
        <f t="shared" si="0"/>
        <v>894.92</v>
      </c>
      <c r="I23" s="117">
        <f t="shared" si="1"/>
        <v>3579.68</v>
      </c>
      <c r="J23" s="118" t="s">
        <v>270</v>
      </c>
      <c r="K23" s="190">
        <v>0.25</v>
      </c>
      <c r="L23" s="189"/>
      <c r="M23" s="190">
        <v>0.25</v>
      </c>
      <c r="N23" s="189"/>
      <c r="O23" s="190">
        <v>0.25</v>
      </c>
      <c r="P23" s="189"/>
      <c r="Q23" s="190">
        <v>0.25</v>
      </c>
      <c r="R23" s="189"/>
      <c r="S23" s="216">
        <f t="shared" si="2"/>
        <v>1</v>
      </c>
      <c r="T23" s="75"/>
      <c r="U23" s="111">
        <f t="shared" si="3"/>
        <v>0</v>
      </c>
    </row>
    <row r="24" spans="1:21">
      <c r="A24" s="114" t="s">
        <v>274</v>
      </c>
      <c r="B24" s="115" t="s">
        <v>278</v>
      </c>
      <c r="C24" s="5"/>
      <c r="D24" s="116" t="s">
        <v>269</v>
      </c>
      <c r="E24" s="6">
        <v>12</v>
      </c>
      <c r="F24" s="126">
        <f>COMPOSIÇÕES!H21</f>
        <v>35.200000000000003</v>
      </c>
      <c r="G24" s="124">
        <v>0.2555</v>
      </c>
      <c r="H24" s="117">
        <f t="shared" si="0"/>
        <v>44.19</v>
      </c>
      <c r="I24" s="117">
        <f t="shared" si="1"/>
        <v>530.28</v>
      </c>
      <c r="J24" s="118" t="s">
        <v>270</v>
      </c>
      <c r="K24" s="190">
        <v>0.25</v>
      </c>
      <c r="L24" s="189"/>
      <c r="M24" s="190">
        <v>0.25</v>
      </c>
      <c r="N24" s="189"/>
      <c r="O24" s="190">
        <v>0.25</v>
      </c>
      <c r="P24" s="189"/>
      <c r="Q24" s="190">
        <v>0.25</v>
      </c>
      <c r="R24" s="189"/>
      <c r="S24" s="216">
        <f t="shared" si="2"/>
        <v>1</v>
      </c>
      <c r="T24" s="75"/>
      <c r="U24" s="111">
        <f t="shared" si="3"/>
        <v>0</v>
      </c>
    </row>
    <row r="25" spans="1:21">
      <c r="F25" s="132"/>
      <c r="G25" s="69"/>
      <c r="H25" s="111"/>
      <c r="I25" s="111"/>
      <c r="J25" s="223"/>
      <c r="K25" s="190"/>
      <c r="L25" s="190"/>
      <c r="M25" s="190"/>
      <c r="N25" s="190"/>
      <c r="O25" s="190"/>
      <c r="P25" s="190"/>
      <c r="Q25" s="190"/>
      <c r="R25" s="190"/>
      <c r="S25" s="216"/>
      <c r="T25" s="75"/>
      <c r="U25" s="111"/>
    </row>
    <row r="26" spans="1:21">
      <c r="A26" s="31">
        <v>3</v>
      </c>
      <c r="B26" s="32" t="s">
        <v>473</v>
      </c>
      <c r="C26" s="33"/>
      <c r="D26" s="34" t="s">
        <v>381</v>
      </c>
      <c r="E26" s="35">
        <v>1</v>
      </c>
      <c r="F26" s="35"/>
      <c r="G26" s="35"/>
      <c r="H26" s="36"/>
      <c r="I26" s="37">
        <f>'Estimativa As Built'!H38</f>
        <v>1961.1453588932</v>
      </c>
      <c r="J26" s="38"/>
      <c r="K26" s="198">
        <v>0</v>
      </c>
      <c r="L26" s="278"/>
      <c r="M26" s="198">
        <v>0</v>
      </c>
      <c r="N26" s="278"/>
      <c r="O26" s="198">
        <v>0</v>
      </c>
      <c r="P26" s="278"/>
      <c r="Q26" s="198">
        <v>1</v>
      </c>
      <c r="R26" s="278"/>
      <c r="S26" s="216">
        <f t="shared" si="2"/>
        <v>1</v>
      </c>
      <c r="T26" s="217">
        <f>I26/I$138</f>
        <v>8.1232015508649336E-3</v>
      </c>
      <c r="U26" s="111">
        <f t="shared" si="3"/>
        <v>0</v>
      </c>
    </row>
    <row r="27" spans="1:21">
      <c r="A27" s="122"/>
      <c r="B27" s="123"/>
      <c r="C27" s="16"/>
      <c r="D27" s="17"/>
      <c r="E27" s="18"/>
      <c r="F27" s="18"/>
      <c r="G27" s="18"/>
      <c r="H27" s="18"/>
      <c r="I27" s="18"/>
      <c r="J27" s="19"/>
      <c r="K27" s="190"/>
      <c r="L27" s="190"/>
      <c r="M27" s="190"/>
      <c r="N27" s="190"/>
      <c r="O27" s="190"/>
      <c r="P27" s="190"/>
      <c r="Q27" s="190"/>
      <c r="R27" s="190"/>
      <c r="S27" s="216"/>
      <c r="T27" s="75"/>
      <c r="U27" s="111"/>
    </row>
    <row r="28" spans="1:21">
      <c r="A28" s="31">
        <v>4</v>
      </c>
      <c r="B28" s="32" t="s">
        <v>29</v>
      </c>
      <c r="C28" s="33"/>
      <c r="D28" s="34"/>
      <c r="E28" s="35"/>
      <c r="F28" s="35"/>
      <c r="G28" s="35"/>
      <c r="H28" s="36"/>
      <c r="I28" s="37">
        <f>SUM(I30:I35)</f>
        <v>77472.28</v>
      </c>
      <c r="J28" s="38"/>
      <c r="K28" s="198"/>
      <c r="L28" s="198"/>
      <c r="M28" s="198"/>
      <c r="N28" s="198"/>
      <c r="O28" s="198"/>
      <c r="P28" s="198"/>
      <c r="Q28" s="198"/>
      <c r="R28" s="198"/>
      <c r="S28" s="216"/>
      <c r="T28" s="217">
        <f>I28/I$138</f>
        <v>0.32089561448938675</v>
      </c>
      <c r="U28" s="111"/>
    </row>
    <row r="29" spans="1:21">
      <c r="J29" s="209"/>
      <c r="K29" s="190"/>
      <c r="L29" s="190"/>
      <c r="M29" s="190"/>
      <c r="N29" s="190"/>
      <c r="O29" s="190"/>
      <c r="P29" s="190"/>
      <c r="Q29" s="190"/>
      <c r="R29" s="190"/>
      <c r="S29" s="216"/>
      <c r="T29" s="75"/>
      <c r="U29" s="111"/>
    </row>
    <row r="30" spans="1:21">
      <c r="A30" s="114" t="s">
        <v>139</v>
      </c>
      <c r="B30" s="115" t="s">
        <v>194</v>
      </c>
      <c r="C30" s="5"/>
      <c r="D30" s="116" t="s">
        <v>14</v>
      </c>
      <c r="E30" s="112">
        <v>2</v>
      </c>
      <c r="F30" s="25">
        <v>69.17</v>
      </c>
      <c r="G30" s="124">
        <v>0.2555</v>
      </c>
      <c r="H30" s="117">
        <f t="shared" ref="H30:H31" si="4">TRUNC(F30*(1+G30),2)</f>
        <v>86.84</v>
      </c>
      <c r="I30" s="117">
        <f>TRUNC(E30*H30,2)</f>
        <v>173.68</v>
      </c>
      <c r="J30" s="118" t="s">
        <v>193</v>
      </c>
      <c r="K30" s="190">
        <v>0</v>
      </c>
      <c r="L30" s="189"/>
      <c r="M30" s="190">
        <v>1</v>
      </c>
      <c r="N30" s="189"/>
      <c r="O30" s="190">
        <v>0</v>
      </c>
      <c r="P30" s="189"/>
      <c r="Q30" s="190">
        <v>0</v>
      </c>
      <c r="R30" s="189"/>
      <c r="S30" s="216">
        <f t="shared" si="2"/>
        <v>1</v>
      </c>
      <c r="T30" s="75"/>
      <c r="U30" s="111">
        <f t="shared" si="3"/>
        <v>0</v>
      </c>
    </row>
    <row r="31" spans="1:21" ht="30">
      <c r="A31" s="114" t="s">
        <v>140</v>
      </c>
      <c r="B31" s="115" t="s">
        <v>189</v>
      </c>
      <c r="C31" s="5"/>
      <c r="D31" s="116" t="s">
        <v>190</v>
      </c>
      <c r="E31" s="112">
        <v>0.5</v>
      </c>
      <c r="F31" s="25">
        <v>169.75</v>
      </c>
      <c r="G31" s="124">
        <v>0.2555</v>
      </c>
      <c r="H31" s="117">
        <f t="shared" si="4"/>
        <v>213.12</v>
      </c>
      <c r="I31" s="117">
        <f>TRUNC(E31*H31,2)</f>
        <v>106.56</v>
      </c>
      <c r="J31" s="118" t="s">
        <v>188</v>
      </c>
      <c r="K31" s="190">
        <v>0</v>
      </c>
      <c r="L31" s="189"/>
      <c r="M31" s="190">
        <v>1</v>
      </c>
      <c r="N31" s="189"/>
      <c r="O31" s="190">
        <v>0</v>
      </c>
      <c r="P31" s="189"/>
      <c r="Q31" s="190">
        <v>0</v>
      </c>
      <c r="R31" s="189"/>
      <c r="S31" s="216">
        <f t="shared" si="2"/>
        <v>1</v>
      </c>
      <c r="T31" s="75"/>
      <c r="U31" s="111">
        <f t="shared" si="3"/>
        <v>0</v>
      </c>
    </row>
    <row r="32" spans="1:21" ht="45">
      <c r="A32" s="114" t="s">
        <v>141</v>
      </c>
      <c r="B32" s="108" t="s">
        <v>309</v>
      </c>
      <c r="C32" s="77"/>
      <c r="D32" s="109" t="s">
        <v>13</v>
      </c>
      <c r="E32" s="77">
        <v>200.41</v>
      </c>
      <c r="F32" s="77">
        <v>26.57</v>
      </c>
      <c r="G32" s="124">
        <v>0.2555</v>
      </c>
      <c r="H32" s="119">
        <v>33.35</v>
      </c>
      <c r="I32" s="117">
        <v>6683.67</v>
      </c>
      <c r="J32" s="209" t="s">
        <v>310</v>
      </c>
      <c r="K32" s="190">
        <v>0</v>
      </c>
      <c r="L32" s="189"/>
      <c r="M32" s="190">
        <v>1</v>
      </c>
      <c r="N32" s="189"/>
      <c r="O32" s="190">
        <v>0</v>
      </c>
      <c r="P32" s="189"/>
      <c r="Q32" s="190">
        <v>0</v>
      </c>
      <c r="R32" s="189"/>
      <c r="S32" s="216">
        <f t="shared" si="2"/>
        <v>1</v>
      </c>
      <c r="T32" s="75"/>
      <c r="U32" s="111">
        <f t="shared" si="3"/>
        <v>0</v>
      </c>
    </row>
    <row r="33" spans="1:21" ht="30">
      <c r="A33" s="114" t="s">
        <v>142</v>
      </c>
      <c r="B33" s="115" t="s">
        <v>4</v>
      </c>
      <c r="C33" s="5"/>
      <c r="D33" s="116" t="s">
        <v>13</v>
      </c>
      <c r="E33" s="112">
        <v>200.41</v>
      </c>
      <c r="F33" s="25">
        <v>0</v>
      </c>
      <c r="G33" s="25">
        <v>0</v>
      </c>
      <c r="H33" s="117">
        <v>340</v>
      </c>
      <c r="I33" s="117">
        <f>TRUNC(E33*(F33+H33)*(1+G33),2)</f>
        <v>68139.399999999994</v>
      </c>
      <c r="J33" s="118" t="s">
        <v>127</v>
      </c>
      <c r="K33" s="190">
        <v>0</v>
      </c>
      <c r="L33" s="189"/>
      <c r="M33" s="190">
        <v>0</v>
      </c>
      <c r="N33" s="189"/>
      <c r="O33" s="190">
        <v>0</v>
      </c>
      <c r="P33" s="189"/>
      <c r="Q33" s="190">
        <v>1</v>
      </c>
      <c r="R33" s="189"/>
      <c r="S33" s="216">
        <f t="shared" si="2"/>
        <v>1</v>
      </c>
      <c r="T33" s="75"/>
      <c r="U33" s="111">
        <f t="shared" si="3"/>
        <v>0</v>
      </c>
    </row>
    <row r="34" spans="1:21">
      <c r="A34" s="114" t="s">
        <v>314</v>
      </c>
      <c r="B34" s="115" t="s">
        <v>254</v>
      </c>
      <c r="C34" s="5" t="s">
        <v>256</v>
      </c>
      <c r="D34" s="116" t="s">
        <v>190</v>
      </c>
      <c r="E34" s="112">
        <f>21.22*0.17</f>
        <v>3.6074000000000002</v>
      </c>
      <c r="F34" s="119">
        <v>90.58</v>
      </c>
      <c r="G34" s="124">
        <f>BDI!$B$23</f>
        <v>0.24873184530590153</v>
      </c>
      <c r="H34" s="119">
        <f t="shared" ref="H34" si="5">TRUNC(F34*(1+G34),2)</f>
        <v>113.11</v>
      </c>
      <c r="I34" s="117">
        <f t="shared" ref="I34" si="6">TRUNC(E34*H34,2)</f>
        <v>408.03</v>
      </c>
      <c r="J34" s="118" t="s">
        <v>255</v>
      </c>
      <c r="K34" s="190">
        <v>0</v>
      </c>
      <c r="L34" s="189"/>
      <c r="M34" s="190">
        <v>1</v>
      </c>
      <c r="N34" s="189"/>
      <c r="O34" s="190">
        <v>0</v>
      </c>
      <c r="P34" s="189"/>
      <c r="Q34" s="190">
        <v>0</v>
      </c>
      <c r="R34" s="189"/>
      <c r="S34" s="216">
        <f t="shared" si="2"/>
        <v>1</v>
      </c>
      <c r="T34" s="75"/>
      <c r="U34" s="111">
        <f t="shared" si="3"/>
        <v>0</v>
      </c>
    </row>
    <row r="35" spans="1:21" ht="90">
      <c r="A35" s="114" t="s">
        <v>315</v>
      </c>
      <c r="B35" s="115" t="s">
        <v>51</v>
      </c>
      <c r="C35" s="5" t="s">
        <v>157</v>
      </c>
      <c r="D35" s="116" t="s">
        <v>13</v>
      </c>
      <c r="E35" s="112">
        <v>21.22</v>
      </c>
      <c r="F35" s="119">
        <v>74.010000000000005</v>
      </c>
      <c r="G35" s="124">
        <f>BDI!$B$23</f>
        <v>0.24873184530590153</v>
      </c>
      <c r="H35" s="119">
        <f>TRUNC(F35*(1+G35),2)</f>
        <v>92.41</v>
      </c>
      <c r="I35" s="117">
        <f>TRUNC(E35*H35,2)</f>
        <v>1960.94</v>
      </c>
      <c r="J35" s="118" t="s">
        <v>197</v>
      </c>
      <c r="K35" s="190">
        <v>0</v>
      </c>
      <c r="L35" s="189"/>
      <c r="M35" s="190">
        <v>0</v>
      </c>
      <c r="N35" s="189"/>
      <c r="O35" s="190">
        <v>0</v>
      </c>
      <c r="P35" s="189"/>
      <c r="Q35" s="190">
        <v>1</v>
      </c>
      <c r="R35" s="189"/>
      <c r="S35" s="216">
        <f t="shared" si="2"/>
        <v>1</v>
      </c>
      <c r="T35" s="75"/>
      <c r="U35" s="111">
        <f t="shared" si="3"/>
        <v>0</v>
      </c>
    </row>
    <row r="36" spans="1:21">
      <c r="A36" s="122"/>
      <c r="B36" s="123"/>
      <c r="C36" s="16"/>
      <c r="D36" s="17"/>
      <c r="E36" s="18"/>
      <c r="F36" s="20"/>
      <c r="G36" s="20"/>
      <c r="H36" s="20"/>
      <c r="I36" s="18"/>
      <c r="J36" s="19"/>
      <c r="K36" s="190"/>
      <c r="L36" s="190"/>
      <c r="M36" s="190"/>
      <c r="N36" s="190"/>
      <c r="O36" s="190"/>
      <c r="P36" s="190"/>
      <c r="Q36" s="190"/>
      <c r="R36" s="190"/>
      <c r="S36" s="216"/>
      <c r="T36" s="75"/>
      <c r="U36" s="111"/>
    </row>
    <row r="37" spans="1:21">
      <c r="A37" s="31">
        <v>5</v>
      </c>
      <c r="B37" s="32" t="s">
        <v>35</v>
      </c>
      <c r="C37" s="33"/>
      <c r="D37" s="34"/>
      <c r="E37" s="35"/>
      <c r="F37" s="39"/>
      <c r="G37" s="39"/>
      <c r="H37" s="40"/>
      <c r="I37" s="37">
        <f>SUM(I38:I40)</f>
        <v>27724.43</v>
      </c>
      <c r="J37" s="38"/>
      <c r="K37" s="198"/>
      <c r="L37" s="198"/>
      <c r="M37" s="198"/>
      <c r="N37" s="198"/>
      <c r="O37" s="198"/>
      <c r="P37" s="198"/>
      <c r="Q37" s="198"/>
      <c r="R37" s="198"/>
      <c r="S37" s="216"/>
      <c r="T37" s="217">
        <f>I37/I$138</f>
        <v>0.11483653251482968</v>
      </c>
      <c r="U37" s="111"/>
    </row>
    <row r="38" spans="1:21" ht="30">
      <c r="A38" s="114" t="s">
        <v>143</v>
      </c>
      <c r="B38" s="115" t="s">
        <v>5</v>
      </c>
      <c r="C38" s="5"/>
      <c r="D38" s="116" t="s">
        <v>13</v>
      </c>
      <c r="E38" s="120">
        <v>252.97</v>
      </c>
      <c r="F38" s="25">
        <v>0</v>
      </c>
      <c r="G38" s="25">
        <v>0</v>
      </c>
      <c r="H38" s="117">
        <v>98.8</v>
      </c>
      <c r="I38" s="117">
        <f>TRUNC(E38*(F38+H38)*(1+G38),2)</f>
        <v>24993.43</v>
      </c>
      <c r="J38" s="118" t="s">
        <v>128</v>
      </c>
      <c r="K38" s="190">
        <v>0</v>
      </c>
      <c r="L38" s="189"/>
      <c r="M38" s="190">
        <v>0</v>
      </c>
      <c r="N38" s="189"/>
      <c r="O38" s="190">
        <v>1</v>
      </c>
      <c r="P38" s="189"/>
      <c r="Q38" s="190">
        <v>0</v>
      </c>
      <c r="R38" s="189"/>
      <c r="S38" s="216">
        <f t="shared" si="2"/>
        <v>1</v>
      </c>
      <c r="T38" s="75"/>
      <c r="U38" s="111">
        <f t="shared" si="3"/>
        <v>0</v>
      </c>
    </row>
    <row r="39" spans="1:21" ht="45">
      <c r="A39" s="114" t="s">
        <v>144</v>
      </c>
      <c r="B39" s="115" t="s">
        <v>50</v>
      </c>
      <c r="C39" s="5" t="s">
        <v>156</v>
      </c>
      <c r="D39" s="116" t="s">
        <v>13</v>
      </c>
      <c r="E39" s="120">
        <v>7.76</v>
      </c>
      <c r="F39" s="117">
        <v>60.19</v>
      </c>
      <c r="G39" s="124">
        <f>BDI!$B$23</f>
        <v>0.24873184530590153</v>
      </c>
      <c r="H39" s="119">
        <f>TRUNC(F39*(1+G39),2)</f>
        <v>75.16</v>
      </c>
      <c r="I39" s="117">
        <f>TRUNC(E39*H39,2)</f>
        <v>583.24</v>
      </c>
      <c r="J39" s="118" t="s">
        <v>198</v>
      </c>
      <c r="K39" s="190">
        <v>0</v>
      </c>
      <c r="L39" s="189"/>
      <c r="M39" s="190">
        <v>1</v>
      </c>
      <c r="N39" s="189"/>
      <c r="O39" s="190">
        <v>0</v>
      </c>
      <c r="P39" s="189"/>
      <c r="Q39" s="190">
        <v>0</v>
      </c>
      <c r="R39" s="189"/>
      <c r="S39" s="216">
        <f t="shared" si="2"/>
        <v>1</v>
      </c>
      <c r="T39" s="75"/>
      <c r="U39" s="111">
        <f t="shared" si="3"/>
        <v>0</v>
      </c>
    </row>
    <row r="40" spans="1:21" ht="60">
      <c r="A40" s="114" t="s">
        <v>145</v>
      </c>
      <c r="B40" s="115" t="s">
        <v>49</v>
      </c>
      <c r="C40" s="5" t="s">
        <v>156</v>
      </c>
      <c r="D40" s="116" t="s">
        <v>13</v>
      </c>
      <c r="E40" s="120">
        <v>33.340000000000003</v>
      </c>
      <c r="F40" s="117">
        <v>51.59</v>
      </c>
      <c r="G40" s="124">
        <f>BDI!$B$23</f>
        <v>0.24873184530590153</v>
      </c>
      <c r="H40" s="119">
        <f>TRUNC(F40*(1+G40),2)</f>
        <v>64.42</v>
      </c>
      <c r="I40" s="117">
        <f>TRUNC(E40*H40,2)</f>
        <v>2147.7600000000002</v>
      </c>
      <c r="J40" s="118" t="s">
        <v>199</v>
      </c>
      <c r="K40" s="190">
        <v>0</v>
      </c>
      <c r="L40" s="189"/>
      <c r="M40" s="190">
        <v>1</v>
      </c>
      <c r="N40" s="189"/>
      <c r="O40" s="190">
        <v>0</v>
      </c>
      <c r="P40" s="189"/>
      <c r="Q40" s="190">
        <v>0</v>
      </c>
      <c r="R40" s="189"/>
      <c r="S40" s="216">
        <f t="shared" si="2"/>
        <v>1</v>
      </c>
      <c r="T40" s="75"/>
      <c r="U40" s="111">
        <f t="shared" si="3"/>
        <v>0</v>
      </c>
    </row>
    <row r="41" spans="1:21">
      <c r="A41" s="122"/>
      <c r="B41" s="123"/>
      <c r="C41" s="16"/>
      <c r="D41" s="17"/>
      <c r="E41" s="123"/>
      <c r="F41" s="20"/>
      <c r="G41" s="20"/>
      <c r="H41" s="20"/>
      <c r="I41" s="18"/>
      <c r="J41" s="19"/>
      <c r="K41" s="190"/>
      <c r="L41" s="190"/>
      <c r="M41" s="190"/>
      <c r="N41" s="190"/>
      <c r="O41" s="190"/>
      <c r="P41" s="190"/>
      <c r="Q41" s="190"/>
      <c r="R41" s="190"/>
      <c r="S41" s="216"/>
      <c r="T41" s="75"/>
      <c r="U41" s="111"/>
    </row>
    <row r="42" spans="1:21">
      <c r="A42" s="31">
        <v>6</v>
      </c>
      <c r="B42" s="32" t="s">
        <v>11</v>
      </c>
      <c r="C42" s="33"/>
      <c r="D42" s="34"/>
      <c r="E42" s="35"/>
      <c r="F42" s="39"/>
      <c r="G42" s="39"/>
      <c r="H42" s="40"/>
      <c r="I42" s="37">
        <f>SUM(I43:I47)</f>
        <v>3944.6500000000005</v>
      </c>
      <c r="J42" s="38"/>
      <c r="K42" s="198"/>
      <c r="L42" s="198"/>
      <c r="M42" s="198"/>
      <c r="N42" s="198"/>
      <c r="O42" s="198"/>
      <c r="P42" s="198"/>
      <c r="Q42" s="198"/>
      <c r="R42" s="198"/>
      <c r="S42" s="216"/>
      <c r="T42" s="217">
        <f>I42/I$138</f>
        <v>1.6339016816021932E-2</v>
      </c>
      <c r="U42" s="111"/>
    </row>
    <row r="43" spans="1:21" ht="30">
      <c r="A43" s="114" t="s">
        <v>146</v>
      </c>
      <c r="B43" s="115" t="s">
        <v>12</v>
      </c>
      <c r="C43" s="5" t="s">
        <v>25</v>
      </c>
      <c r="D43" s="116" t="s">
        <v>13</v>
      </c>
      <c r="E43" s="112">
        <f>2*0.36</f>
        <v>0.72</v>
      </c>
      <c r="F43" s="117">
        <v>297.68</v>
      </c>
      <c r="G43" s="124">
        <f>BDI!$B$23</f>
        <v>0.24873184530590153</v>
      </c>
      <c r="H43" s="119">
        <f>TRUNC(F43*(1+G43),2)</f>
        <v>371.72</v>
      </c>
      <c r="I43" s="117">
        <f>TRUNC(E43*H43,2)</f>
        <v>267.63</v>
      </c>
      <c r="J43" s="118" t="s">
        <v>200</v>
      </c>
      <c r="K43" s="190">
        <v>0</v>
      </c>
      <c r="L43" s="189"/>
      <c r="M43" s="190">
        <v>0</v>
      </c>
      <c r="N43" s="189"/>
      <c r="O43" s="190">
        <v>1</v>
      </c>
      <c r="P43" s="189"/>
      <c r="Q43" s="190">
        <v>0</v>
      </c>
      <c r="R43" s="189"/>
      <c r="S43" s="216">
        <f t="shared" si="2"/>
        <v>1</v>
      </c>
      <c r="T43" s="75"/>
      <c r="U43" s="111">
        <f t="shared" si="3"/>
        <v>0</v>
      </c>
    </row>
    <row r="44" spans="1:21" ht="30">
      <c r="A44" s="114" t="s">
        <v>147</v>
      </c>
      <c r="B44" s="115" t="s">
        <v>0</v>
      </c>
      <c r="C44" s="5" t="s">
        <v>24</v>
      </c>
      <c r="D44" s="116" t="s">
        <v>13</v>
      </c>
      <c r="E44" s="112">
        <f>2*1.26</f>
        <v>2.52</v>
      </c>
      <c r="F44" s="25">
        <v>0</v>
      </c>
      <c r="G44" s="25">
        <v>0</v>
      </c>
      <c r="H44" s="117">
        <v>180</v>
      </c>
      <c r="I44" s="117">
        <f t="shared" ref="I44:I45" si="7">TRUNC(E44*(F44+H44)*(1+G44),2)</f>
        <v>453.6</v>
      </c>
      <c r="J44" s="118" t="s">
        <v>118</v>
      </c>
      <c r="K44" s="190">
        <v>0</v>
      </c>
      <c r="L44" s="189"/>
      <c r="M44" s="190">
        <v>0</v>
      </c>
      <c r="N44" s="189"/>
      <c r="O44" s="190"/>
      <c r="P44" s="189"/>
      <c r="Q44" s="190">
        <v>1</v>
      </c>
      <c r="R44" s="189"/>
      <c r="S44" s="216">
        <f t="shared" si="2"/>
        <v>1</v>
      </c>
      <c r="T44" s="75"/>
      <c r="U44" s="111">
        <f t="shared" si="3"/>
        <v>0</v>
      </c>
    </row>
    <row r="45" spans="1:21" ht="45">
      <c r="A45" s="114" t="s">
        <v>316</v>
      </c>
      <c r="B45" s="115" t="s">
        <v>3</v>
      </c>
      <c r="C45" s="5" t="s">
        <v>26</v>
      </c>
      <c r="D45" s="116" t="s">
        <v>14</v>
      </c>
      <c r="E45" s="112">
        <v>6</v>
      </c>
      <c r="F45" s="25">
        <v>0</v>
      </c>
      <c r="G45" s="25">
        <v>0</v>
      </c>
      <c r="H45" s="117">
        <v>264.07</v>
      </c>
      <c r="I45" s="117">
        <f t="shared" si="7"/>
        <v>1584.42</v>
      </c>
      <c r="J45" s="118" t="s">
        <v>119</v>
      </c>
      <c r="K45" s="190">
        <v>0</v>
      </c>
      <c r="L45" s="189"/>
      <c r="M45" s="190">
        <v>0</v>
      </c>
      <c r="N45" s="189"/>
      <c r="O45" s="190">
        <v>1</v>
      </c>
      <c r="P45" s="189"/>
      <c r="Q45" s="190">
        <v>0</v>
      </c>
      <c r="R45" s="189"/>
      <c r="S45" s="216">
        <f t="shared" si="2"/>
        <v>1</v>
      </c>
      <c r="T45" s="75"/>
      <c r="U45" s="111">
        <f t="shared" si="3"/>
        <v>0</v>
      </c>
    </row>
    <row r="46" spans="1:21" ht="45">
      <c r="A46" s="114" t="s">
        <v>317</v>
      </c>
      <c r="B46" s="115" t="s">
        <v>65</v>
      </c>
      <c r="C46" s="5" t="s">
        <v>27</v>
      </c>
      <c r="D46" s="116" t="s">
        <v>14</v>
      </c>
      <c r="E46" s="112">
        <v>2</v>
      </c>
      <c r="F46" s="117">
        <v>421.9</v>
      </c>
      <c r="G46" s="124">
        <f>BDI!$B$23</f>
        <v>0.24873184530590153</v>
      </c>
      <c r="H46" s="119">
        <f>TRUNC(F46*(1+G46),2)</f>
        <v>526.83000000000004</v>
      </c>
      <c r="I46" s="117">
        <f>TRUNC(E46*H46,2)</f>
        <v>1053.6600000000001</v>
      </c>
      <c r="J46" s="118" t="s">
        <v>201</v>
      </c>
      <c r="K46" s="190">
        <v>0</v>
      </c>
      <c r="L46" s="189"/>
      <c r="M46" s="190">
        <v>0</v>
      </c>
      <c r="N46" s="189"/>
      <c r="O46" s="190">
        <v>1</v>
      </c>
      <c r="P46" s="189"/>
      <c r="Q46" s="190">
        <v>0</v>
      </c>
      <c r="R46" s="189"/>
      <c r="S46" s="216">
        <f t="shared" si="2"/>
        <v>1</v>
      </c>
      <c r="T46" s="75"/>
      <c r="U46" s="111">
        <f t="shared" si="3"/>
        <v>0</v>
      </c>
    </row>
    <row r="47" spans="1:21" ht="45">
      <c r="A47" s="114" t="s">
        <v>318</v>
      </c>
      <c r="B47" s="115" t="s">
        <v>66</v>
      </c>
      <c r="C47" s="5" t="s">
        <v>28</v>
      </c>
      <c r="D47" s="116" t="s">
        <v>14</v>
      </c>
      <c r="E47" s="112">
        <v>1</v>
      </c>
      <c r="F47" s="117">
        <v>468.75</v>
      </c>
      <c r="G47" s="124">
        <f>BDI!$B$23</f>
        <v>0.24873184530590153</v>
      </c>
      <c r="H47" s="119">
        <f>TRUNC(F47*(1+G47),2)</f>
        <v>585.34</v>
      </c>
      <c r="I47" s="117">
        <f>TRUNC(E47*H47,2)</f>
        <v>585.34</v>
      </c>
      <c r="J47" s="118" t="s">
        <v>202</v>
      </c>
      <c r="K47" s="190">
        <v>0</v>
      </c>
      <c r="L47" s="189"/>
      <c r="M47" s="190">
        <v>0</v>
      </c>
      <c r="N47" s="189"/>
      <c r="O47" s="190">
        <v>1</v>
      </c>
      <c r="P47" s="189"/>
      <c r="Q47" s="190">
        <v>0</v>
      </c>
      <c r="R47" s="189"/>
      <c r="S47" s="216">
        <f t="shared" si="2"/>
        <v>1</v>
      </c>
      <c r="T47" s="75"/>
      <c r="U47" s="111">
        <f t="shared" si="3"/>
        <v>0</v>
      </c>
    </row>
    <row r="48" spans="1:21">
      <c r="A48" s="114"/>
      <c r="B48" s="115"/>
      <c r="C48" s="5"/>
      <c r="D48" s="116"/>
      <c r="E48" s="6"/>
      <c r="F48" s="117"/>
      <c r="G48" s="117"/>
      <c r="H48" s="117"/>
      <c r="I48" s="6"/>
      <c r="J48" s="7"/>
      <c r="K48" s="190"/>
      <c r="L48" s="190"/>
      <c r="M48" s="190"/>
      <c r="N48" s="190"/>
      <c r="O48" s="190"/>
      <c r="P48" s="190"/>
      <c r="Q48" s="190"/>
      <c r="R48" s="190"/>
      <c r="S48" s="216"/>
      <c r="T48" s="75"/>
      <c r="U48" s="111">
        <f t="shared" si="3"/>
        <v>0</v>
      </c>
    </row>
    <row r="49" spans="1:21">
      <c r="A49" s="31">
        <v>7</v>
      </c>
      <c r="B49" s="32" t="s">
        <v>114</v>
      </c>
      <c r="C49" s="33"/>
      <c r="D49" s="34"/>
      <c r="E49" s="35"/>
      <c r="F49" s="35"/>
      <c r="G49" s="35"/>
      <c r="H49" s="36"/>
      <c r="I49" s="37">
        <f>SUM(I50:I53)</f>
        <v>8142.79</v>
      </c>
      <c r="J49" s="38"/>
      <c r="K49" s="198"/>
      <c r="L49" s="198"/>
      <c r="M49" s="198"/>
      <c r="N49" s="198"/>
      <c r="O49" s="198"/>
      <c r="P49" s="198"/>
      <c r="Q49" s="198"/>
      <c r="R49" s="198"/>
      <c r="S49" s="216"/>
      <c r="T49" s="217">
        <f>I49/I$138</f>
        <v>3.3728006981439476E-2</v>
      </c>
      <c r="U49" s="111">
        <f t="shared" si="3"/>
        <v>0</v>
      </c>
    </row>
    <row r="50" spans="1:21" ht="30">
      <c r="A50" s="114" t="s">
        <v>148</v>
      </c>
      <c r="B50" s="115" t="s">
        <v>107</v>
      </c>
      <c r="C50" s="5" t="s">
        <v>117</v>
      </c>
      <c r="D50" s="116" t="s">
        <v>14</v>
      </c>
      <c r="E50" s="112">
        <v>1</v>
      </c>
      <c r="F50" s="25">
        <v>0</v>
      </c>
      <c r="G50" s="25">
        <v>0</v>
      </c>
      <c r="H50" s="117">
        <v>2300</v>
      </c>
      <c r="I50" s="117">
        <f t="shared" ref="I50:I53" si="8">TRUNC(E50*(F50+H50)*(1+G50),2)</f>
        <v>2300</v>
      </c>
      <c r="J50" s="118" t="s">
        <v>120</v>
      </c>
      <c r="K50" s="190">
        <v>0</v>
      </c>
      <c r="L50" s="189"/>
      <c r="M50" s="190">
        <v>0</v>
      </c>
      <c r="N50" s="189"/>
      <c r="O50" s="190">
        <v>0</v>
      </c>
      <c r="P50" s="189"/>
      <c r="Q50" s="190">
        <v>1</v>
      </c>
      <c r="R50" s="189"/>
      <c r="S50" s="216">
        <f t="shared" si="2"/>
        <v>1</v>
      </c>
      <c r="T50" s="75"/>
      <c r="U50" s="111">
        <f t="shared" si="3"/>
        <v>0</v>
      </c>
    </row>
    <row r="51" spans="1:21" ht="75">
      <c r="A51" s="114" t="s">
        <v>149</v>
      </c>
      <c r="B51" s="115" t="s">
        <v>108</v>
      </c>
      <c r="C51" s="5" t="s">
        <v>155</v>
      </c>
      <c r="D51" s="116" t="s">
        <v>14</v>
      </c>
      <c r="E51" s="112">
        <v>4</v>
      </c>
      <c r="F51" s="25">
        <v>0</v>
      </c>
      <c r="G51" s="25">
        <v>0</v>
      </c>
      <c r="H51" s="117">
        <v>719.83</v>
      </c>
      <c r="I51" s="117">
        <f t="shared" si="8"/>
        <v>2879.32</v>
      </c>
      <c r="J51" s="118" t="s">
        <v>121</v>
      </c>
      <c r="K51" s="190">
        <v>0</v>
      </c>
      <c r="L51" s="189"/>
      <c r="M51" s="190">
        <v>0</v>
      </c>
      <c r="N51" s="189"/>
      <c r="O51" s="190">
        <v>0</v>
      </c>
      <c r="P51" s="189"/>
      <c r="Q51" s="190">
        <v>1</v>
      </c>
      <c r="R51" s="189"/>
      <c r="S51" s="216">
        <f t="shared" si="2"/>
        <v>1</v>
      </c>
      <c r="T51" s="75"/>
      <c r="U51" s="111">
        <f t="shared" si="3"/>
        <v>0</v>
      </c>
    </row>
    <row r="52" spans="1:21" ht="60">
      <c r="A52" s="114" t="s">
        <v>150</v>
      </c>
      <c r="B52" s="115" t="s">
        <v>109</v>
      </c>
      <c r="C52" s="5"/>
      <c r="D52" s="116" t="s">
        <v>23</v>
      </c>
      <c r="E52" s="112">
        <v>33</v>
      </c>
      <c r="F52" s="25">
        <v>0</v>
      </c>
      <c r="G52" s="25">
        <v>0</v>
      </c>
      <c r="H52" s="6">
        <v>46.74</v>
      </c>
      <c r="I52" s="117">
        <f t="shared" si="8"/>
        <v>1542.42</v>
      </c>
      <c r="J52" s="118" t="s">
        <v>122</v>
      </c>
      <c r="K52" s="190">
        <v>0</v>
      </c>
      <c r="L52" s="189"/>
      <c r="M52" s="190">
        <v>0</v>
      </c>
      <c r="N52" s="189"/>
      <c r="O52" s="190">
        <v>0</v>
      </c>
      <c r="P52" s="189"/>
      <c r="Q52" s="190">
        <v>1</v>
      </c>
      <c r="R52" s="189"/>
      <c r="S52" s="216">
        <f t="shared" si="2"/>
        <v>1</v>
      </c>
      <c r="T52" s="75"/>
      <c r="U52" s="111">
        <f t="shared" si="3"/>
        <v>0</v>
      </c>
    </row>
    <row r="53" spans="1:21" ht="45">
      <c r="A53" s="114" t="s">
        <v>151</v>
      </c>
      <c r="B53" s="115" t="s">
        <v>110</v>
      </c>
      <c r="C53" s="5"/>
      <c r="D53" s="116" t="s">
        <v>23</v>
      </c>
      <c r="E53" s="112">
        <v>47.4</v>
      </c>
      <c r="F53" s="25">
        <v>0</v>
      </c>
      <c r="G53" s="25">
        <v>0</v>
      </c>
      <c r="H53" s="6">
        <v>29.98</v>
      </c>
      <c r="I53" s="117">
        <f t="shared" si="8"/>
        <v>1421.05</v>
      </c>
      <c r="J53" s="118" t="s">
        <v>123</v>
      </c>
      <c r="K53" s="190">
        <v>0</v>
      </c>
      <c r="L53" s="189"/>
      <c r="M53" s="190">
        <v>1</v>
      </c>
      <c r="N53" s="189"/>
      <c r="O53" s="190">
        <v>0</v>
      </c>
      <c r="P53" s="189"/>
      <c r="Q53" s="190">
        <v>0</v>
      </c>
      <c r="R53" s="189"/>
      <c r="S53" s="216">
        <f t="shared" si="2"/>
        <v>1</v>
      </c>
      <c r="T53" s="75"/>
      <c r="U53" s="111">
        <f t="shared" si="3"/>
        <v>0</v>
      </c>
    </row>
    <row r="54" spans="1:21">
      <c r="A54" s="122"/>
      <c r="B54" s="123"/>
      <c r="C54" s="16"/>
      <c r="D54" s="17"/>
      <c r="E54" s="18"/>
      <c r="F54" s="18"/>
      <c r="G54" s="18"/>
      <c r="H54" s="18"/>
      <c r="I54" s="20"/>
      <c r="J54" s="21"/>
      <c r="K54" s="190"/>
      <c r="L54" s="190"/>
      <c r="M54" s="190"/>
      <c r="N54" s="190"/>
      <c r="O54" s="190"/>
      <c r="P54" s="190"/>
      <c r="Q54" s="190"/>
      <c r="R54" s="190"/>
      <c r="S54" s="216">
        <f t="shared" si="2"/>
        <v>0</v>
      </c>
      <c r="T54" s="75"/>
      <c r="U54" s="111"/>
    </row>
    <row r="55" spans="1:21">
      <c r="A55" s="31">
        <v>8</v>
      </c>
      <c r="B55" s="32" t="s">
        <v>68</v>
      </c>
      <c r="C55" s="33"/>
      <c r="D55" s="34"/>
      <c r="E55" s="35"/>
      <c r="F55" s="39"/>
      <c r="G55" s="39"/>
      <c r="H55" s="40"/>
      <c r="I55" s="37">
        <f>SUM(I56:I85)</f>
        <v>42204.590000000004</v>
      </c>
      <c r="J55" s="38"/>
      <c r="K55" s="198"/>
      <c r="L55" s="198"/>
      <c r="M55" s="198"/>
      <c r="N55" s="198"/>
      <c r="O55" s="198"/>
      <c r="P55" s="198"/>
      <c r="Q55" s="198"/>
      <c r="R55" s="198"/>
      <c r="S55" s="216">
        <f t="shared" si="2"/>
        <v>0</v>
      </c>
      <c r="T55" s="217">
        <f>I55/I$138</f>
        <v>0.17481437027957134</v>
      </c>
      <c r="U55" s="111"/>
    </row>
    <row r="56" spans="1:21" ht="45">
      <c r="A56" s="114" t="s">
        <v>152</v>
      </c>
      <c r="B56" s="115" t="s">
        <v>464</v>
      </c>
      <c r="C56" s="234" t="s">
        <v>469</v>
      </c>
      <c r="D56" s="116" t="s">
        <v>14</v>
      </c>
      <c r="E56" s="112">
        <v>1</v>
      </c>
      <c r="F56" s="117">
        <v>43</v>
      </c>
      <c r="G56" s="124">
        <f>BDI!$B$23</f>
        <v>0.24873184530590153</v>
      </c>
      <c r="H56" s="119">
        <f t="shared" ref="H56:H67" si="9">TRUNC(F56*(1+G56),2)</f>
        <v>53.69</v>
      </c>
      <c r="I56" s="117">
        <f t="shared" ref="I56:I67" si="10">TRUNC(E56*H56,2)</f>
        <v>53.69</v>
      </c>
      <c r="J56" s="118" t="s">
        <v>449</v>
      </c>
      <c r="K56" s="190">
        <v>1</v>
      </c>
      <c r="L56" s="189"/>
      <c r="M56" s="190">
        <v>0</v>
      </c>
      <c r="N56" s="189"/>
      <c r="O56" s="190">
        <v>0</v>
      </c>
      <c r="P56" s="189"/>
      <c r="Q56" s="190">
        <v>0</v>
      </c>
      <c r="R56" s="189"/>
      <c r="S56" s="216">
        <f t="shared" si="2"/>
        <v>1</v>
      </c>
      <c r="T56" s="75"/>
      <c r="U56" s="111">
        <f t="shared" si="3"/>
        <v>0</v>
      </c>
    </row>
    <row r="57" spans="1:21" ht="60">
      <c r="A57" s="114" t="s">
        <v>319</v>
      </c>
      <c r="B57" s="115" t="s">
        <v>466</v>
      </c>
      <c r="C57" s="5" t="s">
        <v>467</v>
      </c>
      <c r="D57" s="116" t="s">
        <v>14</v>
      </c>
      <c r="E57" s="112">
        <v>2</v>
      </c>
      <c r="F57" s="117">
        <v>212.86</v>
      </c>
      <c r="G57" s="124">
        <f>BDI!$B$23</f>
        <v>0.24873184530590153</v>
      </c>
      <c r="H57" s="119">
        <f t="shared" si="9"/>
        <v>265.8</v>
      </c>
      <c r="I57" s="117">
        <f t="shared" si="10"/>
        <v>531.6</v>
      </c>
      <c r="J57" s="118" t="s">
        <v>203</v>
      </c>
      <c r="K57" s="190">
        <v>0</v>
      </c>
      <c r="L57" s="189"/>
      <c r="M57" s="190">
        <v>0</v>
      </c>
      <c r="N57" s="189"/>
      <c r="O57" s="190">
        <v>0</v>
      </c>
      <c r="P57" s="189"/>
      <c r="Q57" s="190">
        <v>1</v>
      </c>
      <c r="R57" s="189"/>
      <c r="S57" s="216">
        <f t="shared" si="2"/>
        <v>1</v>
      </c>
      <c r="T57" s="75"/>
      <c r="U57" s="111">
        <f t="shared" si="3"/>
        <v>0</v>
      </c>
    </row>
    <row r="58" spans="1:21" ht="30">
      <c r="A58" s="114" t="s">
        <v>320</v>
      </c>
      <c r="B58" s="115" t="s">
        <v>69</v>
      </c>
      <c r="C58" s="5" t="s">
        <v>115</v>
      </c>
      <c r="D58" s="116" t="s">
        <v>14</v>
      </c>
      <c r="E58" s="6">
        <v>12</v>
      </c>
      <c r="F58" s="77">
        <v>11.74</v>
      </c>
      <c r="G58" s="124">
        <f>BDI!$B$23</f>
        <v>0.24873184530590153</v>
      </c>
      <c r="H58" s="119">
        <f t="shared" si="9"/>
        <v>14.66</v>
      </c>
      <c r="I58" s="117">
        <f t="shared" si="10"/>
        <v>175.92</v>
      </c>
      <c r="J58" s="118" t="s">
        <v>204</v>
      </c>
      <c r="K58" s="190">
        <v>0</v>
      </c>
      <c r="L58" s="189"/>
      <c r="M58" s="190">
        <v>0</v>
      </c>
      <c r="N58" s="189"/>
      <c r="O58" s="190">
        <v>0</v>
      </c>
      <c r="P58" s="189"/>
      <c r="Q58" s="190">
        <v>1</v>
      </c>
      <c r="R58" s="189"/>
      <c r="S58" s="216">
        <f t="shared" si="2"/>
        <v>1</v>
      </c>
      <c r="T58" s="75"/>
      <c r="U58" s="111">
        <f t="shared" si="3"/>
        <v>0</v>
      </c>
    </row>
    <row r="59" spans="1:21" ht="30">
      <c r="A59" s="114" t="s">
        <v>321</v>
      </c>
      <c r="B59" s="115" t="s">
        <v>446</v>
      </c>
      <c r="C59" s="5" t="s">
        <v>447</v>
      </c>
      <c r="D59" s="116" t="s">
        <v>14</v>
      </c>
      <c r="E59" s="6">
        <v>1</v>
      </c>
      <c r="F59" s="77">
        <v>18.39</v>
      </c>
      <c r="G59" s="124">
        <f>BDI!$B$23</f>
        <v>0.24873184530590153</v>
      </c>
      <c r="H59" s="119">
        <f t="shared" si="9"/>
        <v>22.96</v>
      </c>
      <c r="I59" s="117">
        <f t="shared" si="10"/>
        <v>22.96</v>
      </c>
      <c r="J59" s="118" t="s">
        <v>448</v>
      </c>
      <c r="K59" s="190">
        <v>0</v>
      </c>
      <c r="L59" s="189"/>
      <c r="M59" s="190">
        <v>0</v>
      </c>
      <c r="N59" s="189"/>
      <c r="O59" s="190">
        <v>0</v>
      </c>
      <c r="P59" s="189"/>
      <c r="Q59" s="190">
        <v>1</v>
      </c>
      <c r="R59" s="189"/>
      <c r="S59" s="216">
        <f t="shared" si="2"/>
        <v>1</v>
      </c>
      <c r="T59" s="75"/>
      <c r="U59" s="111">
        <f t="shared" si="3"/>
        <v>0</v>
      </c>
    </row>
    <row r="60" spans="1:21" ht="30">
      <c r="A60" s="114" t="s">
        <v>322</v>
      </c>
      <c r="B60" s="115" t="s">
        <v>470</v>
      </c>
      <c r="C60" s="5" t="s">
        <v>447</v>
      </c>
      <c r="D60" s="116" t="s">
        <v>14</v>
      </c>
      <c r="E60" s="6">
        <v>2</v>
      </c>
      <c r="F60" s="77">
        <v>76.930000000000007</v>
      </c>
      <c r="G60" s="124">
        <f>BDI!$B$23</f>
        <v>0.24873184530590153</v>
      </c>
      <c r="H60" s="119">
        <f t="shared" si="9"/>
        <v>96.06</v>
      </c>
      <c r="I60" s="117">
        <f t="shared" si="10"/>
        <v>192.12</v>
      </c>
      <c r="J60" s="118" t="s">
        <v>471</v>
      </c>
      <c r="K60" s="190">
        <v>0.5</v>
      </c>
      <c r="L60" s="189"/>
      <c r="M60" s="190">
        <v>0</v>
      </c>
      <c r="N60" s="189"/>
      <c r="O60" s="190">
        <v>0</v>
      </c>
      <c r="P60" s="189"/>
      <c r="Q60" s="190">
        <v>0.5</v>
      </c>
      <c r="R60" s="189"/>
      <c r="S60" s="216">
        <f t="shared" si="2"/>
        <v>1</v>
      </c>
      <c r="T60" s="75"/>
      <c r="U60" s="111">
        <f t="shared" si="3"/>
        <v>0</v>
      </c>
    </row>
    <row r="61" spans="1:21" ht="30">
      <c r="A61" s="114" t="s">
        <v>323</v>
      </c>
      <c r="B61" s="115" t="s">
        <v>70</v>
      </c>
      <c r="C61" s="234" t="s">
        <v>116</v>
      </c>
      <c r="D61" s="116" t="s">
        <v>14</v>
      </c>
      <c r="E61" s="6">
        <v>1</v>
      </c>
      <c r="F61" s="77">
        <v>103.83</v>
      </c>
      <c r="G61" s="124">
        <f>BDI!$B$23</f>
        <v>0.24873184530590153</v>
      </c>
      <c r="H61" s="119">
        <f t="shared" si="9"/>
        <v>129.65</v>
      </c>
      <c r="I61" s="117">
        <f t="shared" si="10"/>
        <v>129.65</v>
      </c>
      <c r="J61" s="118" t="s">
        <v>205</v>
      </c>
      <c r="K61" s="190">
        <v>1</v>
      </c>
      <c r="L61" s="189"/>
      <c r="M61" s="190">
        <v>0</v>
      </c>
      <c r="N61" s="189"/>
      <c r="O61" s="190">
        <v>0</v>
      </c>
      <c r="P61" s="189"/>
      <c r="Q61" s="190"/>
      <c r="R61" s="189"/>
      <c r="S61" s="216">
        <f t="shared" si="2"/>
        <v>1</v>
      </c>
      <c r="T61" s="75"/>
      <c r="U61" s="111">
        <f t="shared" si="3"/>
        <v>0</v>
      </c>
    </row>
    <row r="62" spans="1:21" ht="45">
      <c r="A62" s="114" t="s">
        <v>324</v>
      </c>
      <c r="B62" s="115" t="s">
        <v>474</v>
      </c>
      <c r="C62" s="5" t="s">
        <v>71</v>
      </c>
      <c r="D62" s="116" t="s">
        <v>23</v>
      </c>
      <c r="E62" s="6">
        <v>60</v>
      </c>
      <c r="F62" s="77">
        <v>1.92</v>
      </c>
      <c r="G62" s="124">
        <f>BDI!$B$23</f>
        <v>0.24873184530590153</v>
      </c>
      <c r="H62" s="119">
        <f t="shared" si="9"/>
        <v>2.39</v>
      </c>
      <c r="I62" s="117">
        <f t="shared" si="10"/>
        <v>143.4</v>
      </c>
      <c r="J62" s="118" t="s">
        <v>206</v>
      </c>
      <c r="K62" s="190">
        <v>0</v>
      </c>
      <c r="L62" s="189"/>
      <c r="M62" s="190">
        <v>0</v>
      </c>
      <c r="N62" s="189"/>
      <c r="O62" s="190">
        <v>0</v>
      </c>
      <c r="P62" s="189"/>
      <c r="Q62" s="190">
        <v>1</v>
      </c>
      <c r="R62" s="189"/>
      <c r="S62" s="216">
        <f t="shared" si="2"/>
        <v>1</v>
      </c>
      <c r="T62" s="75"/>
      <c r="U62" s="111">
        <f t="shared" si="3"/>
        <v>0</v>
      </c>
    </row>
    <row r="63" spans="1:21" ht="45">
      <c r="A63" s="114" t="s">
        <v>325</v>
      </c>
      <c r="B63" s="115" t="s">
        <v>475</v>
      </c>
      <c r="C63" s="5" t="s">
        <v>72</v>
      </c>
      <c r="D63" s="116" t="s">
        <v>23</v>
      </c>
      <c r="E63" s="6">
        <v>540</v>
      </c>
      <c r="F63" s="77">
        <v>3.66</v>
      </c>
      <c r="G63" s="124">
        <f>BDI!$B$23</f>
        <v>0.24873184530590153</v>
      </c>
      <c r="H63" s="119">
        <f t="shared" si="9"/>
        <v>4.57</v>
      </c>
      <c r="I63" s="117">
        <f t="shared" si="10"/>
        <v>2467.8000000000002</v>
      </c>
      <c r="J63" s="118" t="s">
        <v>207</v>
      </c>
      <c r="K63" s="190">
        <v>0</v>
      </c>
      <c r="L63" s="189"/>
      <c r="M63" s="190">
        <v>0</v>
      </c>
      <c r="N63" s="189"/>
      <c r="O63" s="190">
        <v>0</v>
      </c>
      <c r="P63" s="189"/>
      <c r="Q63" s="190">
        <v>1</v>
      </c>
      <c r="R63" s="189"/>
      <c r="S63" s="216">
        <f t="shared" si="2"/>
        <v>1</v>
      </c>
      <c r="T63" s="75"/>
      <c r="U63" s="111">
        <f t="shared" si="3"/>
        <v>0</v>
      </c>
    </row>
    <row r="64" spans="1:21" ht="45">
      <c r="A64" s="114" t="s">
        <v>326</v>
      </c>
      <c r="B64" s="115" t="s">
        <v>476</v>
      </c>
      <c r="C64" s="5" t="s">
        <v>73</v>
      </c>
      <c r="D64" s="116" t="s">
        <v>23</v>
      </c>
      <c r="E64" s="6">
        <v>110</v>
      </c>
      <c r="F64" s="77">
        <v>5.66</v>
      </c>
      <c r="G64" s="124">
        <f>BDI!$B$23</f>
        <v>0.24873184530590153</v>
      </c>
      <c r="H64" s="119">
        <f t="shared" si="9"/>
        <v>7.06</v>
      </c>
      <c r="I64" s="117">
        <f t="shared" si="10"/>
        <v>776.6</v>
      </c>
      <c r="J64" s="118" t="s">
        <v>208</v>
      </c>
      <c r="K64" s="190">
        <v>0</v>
      </c>
      <c r="L64" s="189"/>
      <c r="M64" s="190">
        <v>0</v>
      </c>
      <c r="N64" s="189"/>
      <c r="O64" s="190">
        <v>1</v>
      </c>
      <c r="P64" s="189"/>
      <c r="Q64" s="190">
        <v>0</v>
      </c>
      <c r="R64" s="189"/>
      <c r="S64" s="216">
        <f t="shared" si="2"/>
        <v>1</v>
      </c>
      <c r="T64" s="75"/>
      <c r="U64" s="111">
        <f t="shared" si="3"/>
        <v>0</v>
      </c>
    </row>
    <row r="65" spans="1:21" ht="45">
      <c r="A65" s="114" t="s">
        <v>327</v>
      </c>
      <c r="B65" s="115" t="s">
        <v>481</v>
      </c>
      <c r="C65" s="5" t="s">
        <v>453</v>
      </c>
      <c r="D65" s="116" t="s">
        <v>23</v>
      </c>
      <c r="E65" s="6">
        <v>65</v>
      </c>
      <c r="F65" s="229">
        <v>7.97</v>
      </c>
      <c r="G65" s="124">
        <f>BDI!$B$23</f>
        <v>0.24873184530590153</v>
      </c>
      <c r="H65" s="119">
        <f t="shared" si="9"/>
        <v>9.9499999999999993</v>
      </c>
      <c r="I65" s="117">
        <f t="shared" si="10"/>
        <v>646.75</v>
      </c>
      <c r="J65" s="118" t="s">
        <v>454</v>
      </c>
      <c r="K65" s="190">
        <v>1</v>
      </c>
      <c r="L65" s="189"/>
      <c r="M65" s="190">
        <v>0</v>
      </c>
      <c r="N65" s="189"/>
      <c r="O65" s="190">
        <v>0</v>
      </c>
      <c r="P65" s="189"/>
      <c r="Q65" s="190">
        <v>0</v>
      </c>
      <c r="R65" s="189"/>
      <c r="S65" s="216">
        <f t="shared" si="2"/>
        <v>1</v>
      </c>
      <c r="T65" s="75"/>
      <c r="U65" s="111">
        <f t="shared" si="3"/>
        <v>0</v>
      </c>
    </row>
    <row r="66" spans="1:21" ht="45">
      <c r="A66" s="114" t="s">
        <v>328</v>
      </c>
      <c r="B66" s="115" t="s">
        <v>482</v>
      </c>
      <c r="C66" s="5" t="s">
        <v>455</v>
      </c>
      <c r="D66" s="116" t="s">
        <v>23</v>
      </c>
      <c r="E66" s="6">
        <v>250</v>
      </c>
      <c r="F66" s="229">
        <v>12.02</v>
      </c>
      <c r="G66" s="124">
        <f>BDI!$B$23</f>
        <v>0.24873184530590153</v>
      </c>
      <c r="H66" s="119">
        <f t="shared" si="9"/>
        <v>15</v>
      </c>
      <c r="I66" s="117">
        <f t="shared" si="10"/>
        <v>3750</v>
      </c>
      <c r="J66" s="118" t="s">
        <v>456</v>
      </c>
      <c r="K66" s="190">
        <v>1</v>
      </c>
      <c r="L66" s="189"/>
      <c r="M66" s="190">
        <v>0</v>
      </c>
      <c r="N66" s="189"/>
      <c r="O66" s="190">
        <v>0</v>
      </c>
      <c r="P66" s="189"/>
      <c r="Q66" s="190">
        <v>0</v>
      </c>
      <c r="R66" s="189"/>
      <c r="S66" s="216">
        <f t="shared" si="2"/>
        <v>1</v>
      </c>
      <c r="T66" s="75"/>
      <c r="U66" s="111">
        <f t="shared" si="3"/>
        <v>0</v>
      </c>
    </row>
    <row r="67" spans="1:21" ht="75">
      <c r="A67" s="114" t="s">
        <v>329</v>
      </c>
      <c r="B67" s="115" t="s">
        <v>171</v>
      </c>
      <c r="C67" s="5" t="s">
        <v>170</v>
      </c>
      <c r="D67" s="116" t="s">
        <v>14</v>
      </c>
      <c r="E67" s="6">
        <f>E79*2</f>
        <v>30</v>
      </c>
      <c r="F67" s="117">
        <v>468</v>
      </c>
      <c r="G67" s="124">
        <f>BDI!$B$23</f>
        <v>0.24873184530590153</v>
      </c>
      <c r="H67" s="119">
        <f t="shared" si="9"/>
        <v>584.4</v>
      </c>
      <c r="I67" s="117">
        <f t="shared" si="10"/>
        <v>17532</v>
      </c>
      <c r="J67" s="118" t="s">
        <v>172</v>
      </c>
      <c r="K67" s="190">
        <v>0</v>
      </c>
      <c r="L67" s="189"/>
      <c r="M67" s="190">
        <v>0</v>
      </c>
      <c r="N67" s="189"/>
      <c r="O67" s="190">
        <v>1</v>
      </c>
      <c r="P67" s="189"/>
      <c r="Q67" s="190">
        <v>0</v>
      </c>
      <c r="R67" s="189"/>
      <c r="S67" s="216">
        <f t="shared" si="2"/>
        <v>1</v>
      </c>
      <c r="T67" s="75"/>
      <c r="U67" s="111">
        <f t="shared" si="3"/>
        <v>0</v>
      </c>
    </row>
    <row r="68" spans="1:21" ht="75">
      <c r="A68" s="114" t="s">
        <v>330</v>
      </c>
      <c r="B68" s="115" t="s">
        <v>79</v>
      </c>
      <c r="C68" s="5" t="s">
        <v>77</v>
      </c>
      <c r="D68" s="116" t="s">
        <v>23</v>
      </c>
      <c r="E68" s="126">
        <v>24.96</v>
      </c>
      <c r="F68" s="25">
        <v>0</v>
      </c>
      <c r="G68" s="25">
        <v>0</v>
      </c>
      <c r="H68" s="117">
        <v>89</v>
      </c>
      <c r="I68" s="117">
        <f t="shared" ref="I68:I79" si="11">TRUNC(E68*(F68+H68)*(1+G68),2)</f>
        <v>2221.44</v>
      </c>
      <c r="J68" s="118" t="s">
        <v>124</v>
      </c>
      <c r="K68" s="190">
        <v>0</v>
      </c>
      <c r="L68" s="189"/>
      <c r="M68" s="190">
        <v>0</v>
      </c>
      <c r="N68" s="189"/>
      <c r="O68" s="190">
        <v>1</v>
      </c>
      <c r="P68" s="189"/>
      <c r="Q68" s="190">
        <v>0</v>
      </c>
      <c r="R68" s="189"/>
      <c r="S68" s="216">
        <f t="shared" si="2"/>
        <v>1</v>
      </c>
      <c r="T68" s="75"/>
      <c r="U68" s="111">
        <f t="shared" si="3"/>
        <v>0</v>
      </c>
    </row>
    <row r="69" spans="1:21" ht="75">
      <c r="A69" s="114" t="s">
        <v>331</v>
      </c>
      <c r="B69" s="115" t="s">
        <v>74</v>
      </c>
      <c r="C69" s="5" t="s">
        <v>78</v>
      </c>
      <c r="D69" s="116" t="s">
        <v>23</v>
      </c>
      <c r="E69" s="126">
        <v>44.68</v>
      </c>
      <c r="F69" s="25">
        <v>0</v>
      </c>
      <c r="G69" s="25">
        <v>0</v>
      </c>
      <c r="H69" s="117">
        <v>96</v>
      </c>
      <c r="I69" s="117">
        <f t="shared" si="11"/>
        <v>4289.28</v>
      </c>
      <c r="J69" s="118" t="s">
        <v>125</v>
      </c>
      <c r="K69" s="190">
        <v>0</v>
      </c>
      <c r="L69" s="189"/>
      <c r="M69" s="190">
        <v>0</v>
      </c>
      <c r="N69" s="189"/>
      <c r="O69" s="190">
        <v>1</v>
      </c>
      <c r="P69" s="189"/>
      <c r="Q69" s="190">
        <v>0</v>
      </c>
      <c r="R69" s="189"/>
      <c r="S69" s="216">
        <f t="shared" si="2"/>
        <v>1</v>
      </c>
      <c r="T69" s="75"/>
      <c r="U69" s="111">
        <f t="shared" si="3"/>
        <v>0</v>
      </c>
    </row>
    <row r="70" spans="1:21">
      <c r="A70" s="114" t="s">
        <v>332</v>
      </c>
      <c r="B70" s="6" t="s">
        <v>80</v>
      </c>
      <c r="C70" s="5" t="s">
        <v>82</v>
      </c>
      <c r="D70" s="116" t="s">
        <v>14</v>
      </c>
      <c r="E70" s="112">
        <v>25</v>
      </c>
      <c r="F70" s="117">
        <v>7.2</v>
      </c>
      <c r="G70" s="124">
        <f>BDI!$B$23</f>
        <v>0.24873184530590153</v>
      </c>
      <c r="H70" s="119">
        <f t="shared" ref="H70:H78" si="12">TRUNC(F70*(1+G70),2)</f>
        <v>8.99</v>
      </c>
      <c r="I70" s="117">
        <f t="shared" ref="I70:I78" si="13">TRUNC(E70*H70,2)</f>
        <v>224.75</v>
      </c>
      <c r="J70" s="118" t="s">
        <v>209</v>
      </c>
      <c r="K70" s="190">
        <v>0</v>
      </c>
      <c r="L70" s="189"/>
      <c r="M70" s="190">
        <v>0</v>
      </c>
      <c r="N70" s="189"/>
      <c r="O70" s="190">
        <v>1</v>
      </c>
      <c r="P70" s="189"/>
      <c r="Q70" s="190">
        <v>0</v>
      </c>
      <c r="R70" s="189"/>
      <c r="S70" s="216">
        <f t="shared" si="2"/>
        <v>1</v>
      </c>
      <c r="T70" s="75"/>
      <c r="U70" s="111">
        <f t="shared" si="3"/>
        <v>0</v>
      </c>
    </row>
    <row r="71" spans="1:21">
      <c r="A71" s="114" t="s">
        <v>333</v>
      </c>
      <c r="B71" s="6" t="s">
        <v>81</v>
      </c>
      <c r="C71" s="5" t="s">
        <v>83</v>
      </c>
      <c r="D71" s="116" t="s">
        <v>14</v>
      </c>
      <c r="E71" s="112">
        <v>27</v>
      </c>
      <c r="F71" s="117">
        <v>6.08</v>
      </c>
      <c r="G71" s="124">
        <f>BDI!$B$23</f>
        <v>0.24873184530590153</v>
      </c>
      <c r="H71" s="119">
        <f t="shared" si="12"/>
        <v>7.59</v>
      </c>
      <c r="I71" s="117">
        <f t="shared" si="13"/>
        <v>204.93</v>
      </c>
      <c r="J71" s="118" t="s">
        <v>210</v>
      </c>
      <c r="K71" s="190">
        <v>0</v>
      </c>
      <c r="L71" s="189"/>
      <c r="M71" s="190">
        <v>0</v>
      </c>
      <c r="N71" s="189"/>
      <c r="O71" s="190">
        <v>0</v>
      </c>
      <c r="P71" s="189"/>
      <c r="Q71" s="190">
        <v>1</v>
      </c>
      <c r="R71" s="189"/>
      <c r="S71" s="216">
        <f t="shared" si="2"/>
        <v>1</v>
      </c>
      <c r="T71" s="75"/>
      <c r="U71" s="111">
        <f t="shared" si="3"/>
        <v>0</v>
      </c>
    </row>
    <row r="72" spans="1:21">
      <c r="A72" s="114" t="s">
        <v>334</v>
      </c>
      <c r="B72" s="115" t="s">
        <v>84</v>
      </c>
      <c r="C72" s="5" t="s">
        <v>89</v>
      </c>
      <c r="D72" s="116" t="s">
        <v>14</v>
      </c>
      <c r="E72" s="112">
        <v>5</v>
      </c>
      <c r="F72" s="117">
        <v>35.53</v>
      </c>
      <c r="G72" s="124">
        <f>BDI!$B$23</f>
        <v>0.24873184530590153</v>
      </c>
      <c r="H72" s="119">
        <f t="shared" si="12"/>
        <v>44.36</v>
      </c>
      <c r="I72" s="117">
        <f t="shared" si="13"/>
        <v>221.8</v>
      </c>
      <c r="J72" s="118" t="s">
        <v>211</v>
      </c>
      <c r="K72" s="190">
        <v>0</v>
      </c>
      <c r="L72" s="189"/>
      <c r="M72" s="190">
        <v>0</v>
      </c>
      <c r="N72" s="189"/>
      <c r="O72" s="190">
        <v>0</v>
      </c>
      <c r="P72" s="189"/>
      <c r="Q72" s="190">
        <v>1</v>
      </c>
      <c r="R72" s="189"/>
      <c r="S72" s="216">
        <f t="shared" si="2"/>
        <v>1</v>
      </c>
      <c r="T72" s="75"/>
      <c r="U72" s="111">
        <f t="shared" si="3"/>
        <v>0</v>
      </c>
    </row>
    <row r="73" spans="1:21" ht="30">
      <c r="A73" s="114" t="s">
        <v>335</v>
      </c>
      <c r="B73" s="115" t="s">
        <v>85</v>
      </c>
      <c r="C73" s="5" t="s">
        <v>87</v>
      </c>
      <c r="D73" s="116" t="s">
        <v>14</v>
      </c>
      <c r="E73" s="112">
        <v>6</v>
      </c>
      <c r="F73" s="117">
        <v>13.24</v>
      </c>
      <c r="G73" s="124">
        <f>BDI!$B$23</f>
        <v>0.24873184530590153</v>
      </c>
      <c r="H73" s="119">
        <f t="shared" si="12"/>
        <v>16.53</v>
      </c>
      <c r="I73" s="117">
        <f t="shared" si="13"/>
        <v>99.18</v>
      </c>
      <c r="J73" s="118" t="s">
        <v>212</v>
      </c>
      <c r="K73" s="190">
        <v>0</v>
      </c>
      <c r="L73" s="189"/>
      <c r="M73" s="190">
        <v>0</v>
      </c>
      <c r="N73" s="189"/>
      <c r="O73" s="190">
        <v>1</v>
      </c>
      <c r="P73" s="189"/>
      <c r="Q73" s="190">
        <v>0</v>
      </c>
      <c r="R73" s="189"/>
      <c r="S73" s="216">
        <f t="shared" si="2"/>
        <v>1</v>
      </c>
      <c r="T73" s="75"/>
      <c r="U73" s="111">
        <f t="shared" si="3"/>
        <v>0</v>
      </c>
    </row>
    <row r="74" spans="1:21" ht="30">
      <c r="A74" s="114" t="s">
        <v>336</v>
      </c>
      <c r="B74" s="115" t="s">
        <v>86</v>
      </c>
      <c r="C74" s="5" t="s">
        <v>88</v>
      </c>
      <c r="D74" s="116" t="s">
        <v>14</v>
      </c>
      <c r="E74" s="112">
        <v>1</v>
      </c>
      <c r="F74" s="117">
        <v>23.51</v>
      </c>
      <c r="G74" s="124">
        <f>BDI!$B$23</f>
        <v>0.24873184530590153</v>
      </c>
      <c r="H74" s="119">
        <f t="shared" si="12"/>
        <v>29.35</v>
      </c>
      <c r="I74" s="117">
        <f t="shared" si="13"/>
        <v>29.35</v>
      </c>
      <c r="J74" s="118" t="s">
        <v>213</v>
      </c>
      <c r="K74" s="190">
        <v>0</v>
      </c>
      <c r="L74" s="189"/>
      <c r="M74" s="190">
        <v>0</v>
      </c>
      <c r="N74" s="189"/>
      <c r="O74" s="190">
        <v>1</v>
      </c>
      <c r="P74" s="189"/>
      <c r="Q74" s="190">
        <v>0</v>
      </c>
      <c r="R74" s="189"/>
      <c r="S74" s="216">
        <f t="shared" si="2"/>
        <v>1</v>
      </c>
      <c r="T74" s="75"/>
      <c r="U74" s="111">
        <f t="shared" si="3"/>
        <v>0</v>
      </c>
    </row>
    <row r="75" spans="1:21" ht="45">
      <c r="A75" s="114" t="s">
        <v>337</v>
      </c>
      <c r="B75" s="115" t="s">
        <v>94</v>
      </c>
      <c r="C75" s="5" t="s">
        <v>96</v>
      </c>
      <c r="D75" s="116" t="s">
        <v>14</v>
      </c>
      <c r="E75" s="112">
        <v>23</v>
      </c>
      <c r="F75" s="117">
        <v>93.05</v>
      </c>
      <c r="G75" s="124">
        <f>BDI!$B$23</f>
        <v>0.24873184530590153</v>
      </c>
      <c r="H75" s="119">
        <f t="shared" si="12"/>
        <v>116.19</v>
      </c>
      <c r="I75" s="117">
        <f t="shared" si="13"/>
        <v>2672.37</v>
      </c>
      <c r="J75" s="118" t="s">
        <v>214</v>
      </c>
      <c r="K75" s="190">
        <v>0</v>
      </c>
      <c r="L75" s="189"/>
      <c r="M75" s="190">
        <v>0</v>
      </c>
      <c r="N75" s="189"/>
      <c r="O75" s="190">
        <v>0</v>
      </c>
      <c r="P75" s="189"/>
      <c r="Q75" s="190">
        <v>1</v>
      </c>
      <c r="R75" s="189"/>
      <c r="S75" s="216">
        <f t="shared" si="2"/>
        <v>1</v>
      </c>
      <c r="T75" s="75"/>
      <c r="U75" s="111">
        <f t="shared" si="3"/>
        <v>0</v>
      </c>
    </row>
    <row r="76" spans="1:21" ht="30">
      <c r="A76" s="114" t="s">
        <v>338</v>
      </c>
      <c r="B76" s="115" t="s">
        <v>95</v>
      </c>
      <c r="C76" s="5" t="s">
        <v>97</v>
      </c>
      <c r="D76" s="116" t="s">
        <v>14</v>
      </c>
      <c r="E76" s="112">
        <v>3</v>
      </c>
      <c r="F76" s="117">
        <v>51.82</v>
      </c>
      <c r="G76" s="124">
        <f>BDI!$B$23</f>
        <v>0.24873184530590153</v>
      </c>
      <c r="H76" s="119">
        <f t="shared" si="12"/>
        <v>64.7</v>
      </c>
      <c r="I76" s="117">
        <f t="shared" si="13"/>
        <v>194.1</v>
      </c>
      <c r="J76" s="118" t="s">
        <v>215</v>
      </c>
      <c r="K76" s="190">
        <v>0</v>
      </c>
      <c r="L76" s="189"/>
      <c r="M76" s="190">
        <v>0</v>
      </c>
      <c r="N76" s="189"/>
      <c r="O76" s="190">
        <v>1</v>
      </c>
      <c r="P76" s="189"/>
      <c r="Q76" s="190">
        <v>0</v>
      </c>
      <c r="R76" s="189"/>
      <c r="S76" s="216">
        <f t="shared" si="2"/>
        <v>1</v>
      </c>
      <c r="T76" s="75"/>
      <c r="U76" s="111">
        <f t="shared" si="3"/>
        <v>0</v>
      </c>
    </row>
    <row r="77" spans="1:21" ht="30">
      <c r="A77" s="114" t="s">
        <v>339</v>
      </c>
      <c r="B77" s="115" t="s">
        <v>98</v>
      </c>
      <c r="C77" s="5" t="s">
        <v>100</v>
      </c>
      <c r="D77" s="116" t="s">
        <v>14</v>
      </c>
      <c r="E77" s="112">
        <v>10</v>
      </c>
      <c r="F77" s="117">
        <v>14.21</v>
      </c>
      <c r="G77" s="124">
        <f>BDI!$B$23</f>
        <v>0.24873184530590153</v>
      </c>
      <c r="H77" s="119">
        <f t="shared" si="12"/>
        <v>17.739999999999998</v>
      </c>
      <c r="I77" s="117">
        <f t="shared" si="13"/>
        <v>177.4</v>
      </c>
      <c r="J77" s="118" t="s">
        <v>216</v>
      </c>
      <c r="K77" s="190">
        <v>0</v>
      </c>
      <c r="L77" s="189"/>
      <c r="M77" s="190">
        <v>0</v>
      </c>
      <c r="N77" s="189"/>
      <c r="O77" s="190">
        <v>1</v>
      </c>
      <c r="P77" s="189"/>
      <c r="Q77" s="190">
        <v>0</v>
      </c>
      <c r="R77" s="189"/>
      <c r="S77" s="216">
        <f t="shared" ref="S77:S135" si="14">SUM(K77+M77+O77+Q77)</f>
        <v>1</v>
      </c>
      <c r="T77" s="75"/>
      <c r="U77" s="111">
        <f t="shared" si="3"/>
        <v>0</v>
      </c>
    </row>
    <row r="78" spans="1:21" ht="30">
      <c r="A78" s="114" t="s">
        <v>340</v>
      </c>
      <c r="B78" s="115" t="s">
        <v>99</v>
      </c>
      <c r="C78" s="5" t="s">
        <v>101</v>
      </c>
      <c r="D78" s="116" t="s">
        <v>14</v>
      </c>
      <c r="E78" s="112">
        <v>2</v>
      </c>
      <c r="F78" s="117">
        <f>12.98+3.53</f>
        <v>16.510000000000002</v>
      </c>
      <c r="G78" s="124">
        <f>BDI!$B$23</f>
        <v>0.24873184530590153</v>
      </c>
      <c r="H78" s="119">
        <f t="shared" si="12"/>
        <v>20.61</v>
      </c>
      <c r="I78" s="117">
        <f t="shared" si="13"/>
        <v>41.22</v>
      </c>
      <c r="J78" s="118" t="s">
        <v>217</v>
      </c>
      <c r="K78" s="190">
        <v>0</v>
      </c>
      <c r="L78" s="189"/>
      <c r="M78" s="190">
        <v>0</v>
      </c>
      <c r="N78" s="189"/>
      <c r="O78" s="190">
        <v>1</v>
      </c>
      <c r="P78" s="189"/>
      <c r="Q78" s="190">
        <v>0</v>
      </c>
      <c r="R78" s="189"/>
      <c r="S78" s="216">
        <f t="shared" si="14"/>
        <v>1</v>
      </c>
      <c r="T78" s="75"/>
      <c r="U78" s="111">
        <f t="shared" si="3"/>
        <v>0</v>
      </c>
    </row>
    <row r="79" spans="1:21" ht="60">
      <c r="A79" s="114" t="s">
        <v>341</v>
      </c>
      <c r="B79" s="115" t="s">
        <v>75</v>
      </c>
      <c r="C79" s="5" t="s">
        <v>102</v>
      </c>
      <c r="D79" s="116" t="s">
        <v>14</v>
      </c>
      <c r="E79" s="112">
        <v>15</v>
      </c>
      <c r="F79" s="25">
        <v>0</v>
      </c>
      <c r="G79" s="25">
        <v>0</v>
      </c>
      <c r="H79" s="117">
        <v>120</v>
      </c>
      <c r="I79" s="117">
        <f t="shared" si="11"/>
        <v>1800</v>
      </c>
      <c r="J79" s="118" t="s">
        <v>126</v>
      </c>
      <c r="K79" s="190">
        <v>0</v>
      </c>
      <c r="L79" s="189"/>
      <c r="M79" s="190">
        <v>0</v>
      </c>
      <c r="N79" s="189"/>
      <c r="O79" s="190">
        <v>1</v>
      </c>
      <c r="P79" s="189"/>
      <c r="Q79" s="190">
        <v>0</v>
      </c>
      <c r="R79" s="189"/>
      <c r="S79" s="216">
        <f t="shared" si="14"/>
        <v>1</v>
      </c>
      <c r="T79" s="75"/>
      <c r="U79" s="111">
        <f t="shared" ref="U79:U86" si="15">SUM(L79+N79+P79+R79)</f>
        <v>0</v>
      </c>
    </row>
    <row r="80" spans="1:21" ht="30">
      <c r="A80" s="114" t="s">
        <v>459</v>
      </c>
      <c r="B80" s="115" t="s">
        <v>76</v>
      </c>
      <c r="C80" s="116" t="s">
        <v>103</v>
      </c>
      <c r="D80" s="116" t="s">
        <v>23</v>
      </c>
      <c r="E80" s="112">
        <v>59.83</v>
      </c>
      <c r="F80" s="117">
        <v>10.26</v>
      </c>
      <c r="G80" s="124">
        <f>BDI!$B$23</f>
        <v>0.24873184530590153</v>
      </c>
      <c r="H80" s="119">
        <f t="shared" ref="H80:H85" si="16">TRUNC(F80*(1+G80),2)</f>
        <v>12.81</v>
      </c>
      <c r="I80" s="117">
        <f t="shared" ref="I80:I85" si="17">TRUNC(E80*H80,2)</f>
        <v>766.42</v>
      </c>
      <c r="J80" s="118" t="s">
        <v>218</v>
      </c>
      <c r="K80" s="190">
        <v>0</v>
      </c>
      <c r="L80" s="189"/>
      <c r="M80" s="190">
        <v>0</v>
      </c>
      <c r="N80" s="189"/>
      <c r="O80" s="190">
        <v>1</v>
      </c>
      <c r="P80" s="189"/>
      <c r="Q80" s="190">
        <v>0</v>
      </c>
      <c r="R80" s="189"/>
      <c r="S80" s="216">
        <f t="shared" si="14"/>
        <v>1</v>
      </c>
      <c r="T80" s="75"/>
      <c r="U80" s="111">
        <f t="shared" si="15"/>
        <v>0</v>
      </c>
    </row>
    <row r="81" spans="1:21" ht="30">
      <c r="A81" s="114" t="s">
        <v>460</v>
      </c>
      <c r="B81" s="115" t="s">
        <v>76</v>
      </c>
      <c r="C81" s="116" t="s">
        <v>104</v>
      </c>
      <c r="D81" s="116" t="s">
        <v>23</v>
      </c>
      <c r="E81" s="112">
        <v>33.96</v>
      </c>
      <c r="F81" s="117">
        <v>12.27</v>
      </c>
      <c r="G81" s="124">
        <f>BDI!$B$23</f>
        <v>0.24873184530590153</v>
      </c>
      <c r="H81" s="119">
        <f t="shared" si="16"/>
        <v>15.32</v>
      </c>
      <c r="I81" s="117">
        <f t="shared" si="17"/>
        <v>520.26</v>
      </c>
      <c r="J81" s="118" t="s">
        <v>219</v>
      </c>
      <c r="K81" s="190">
        <v>0</v>
      </c>
      <c r="L81" s="189"/>
      <c r="M81" s="190">
        <v>0</v>
      </c>
      <c r="N81" s="189"/>
      <c r="O81" s="190">
        <v>1</v>
      </c>
      <c r="P81" s="189"/>
      <c r="Q81" s="190">
        <v>0</v>
      </c>
      <c r="R81" s="189"/>
      <c r="S81" s="216">
        <f t="shared" si="14"/>
        <v>1</v>
      </c>
      <c r="T81" s="75"/>
      <c r="U81" s="111"/>
    </row>
    <row r="82" spans="1:21" ht="30">
      <c r="A82" s="114" t="s">
        <v>461</v>
      </c>
      <c r="B82" s="115" t="s">
        <v>76</v>
      </c>
      <c r="C82" s="116" t="s">
        <v>105</v>
      </c>
      <c r="D82" s="116" t="s">
        <v>23</v>
      </c>
      <c r="E82" s="112">
        <v>65.34</v>
      </c>
      <c r="F82" s="117">
        <v>18.34</v>
      </c>
      <c r="G82" s="124">
        <f>BDI!$B$23</f>
        <v>0.24873184530590153</v>
      </c>
      <c r="H82" s="119">
        <f t="shared" si="16"/>
        <v>22.9</v>
      </c>
      <c r="I82" s="117">
        <f t="shared" si="17"/>
        <v>1496.28</v>
      </c>
      <c r="J82" s="118" t="s">
        <v>220</v>
      </c>
      <c r="K82" s="190">
        <v>0.7</v>
      </c>
      <c r="L82" s="189"/>
      <c r="M82" s="190">
        <v>0</v>
      </c>
      <c r="N82" s="189"/>
      <c r="O82" s="190">
        <v>0.3</v>
      </c>
      <c r="P82" s="189"/>
      <c r="Q82" s="190">
        <v>0</v>
      </c>
      <c r="R82" s="189"/>
      <c r="S82" s="216">
        <f t="shared" si="14"/>
        <v>1</v>
      </c>
      <c r="T82" s="217"/>
      <c r="U82" s="111"/>
    </row>
    <row r="83" spans="1:21" ht="30">
      <c r="A83" s="114" t="s">
        <v>462</v>
      </c>
      <c r="B83" s="115" t="s">
        <v>76</v>
      </c>
      <c r="C83" s="116" t="s">
        <v>106</v>
      </c>
      <c r="D83" s="116" t="s">
        <v>23</v>
      </c>
      <c r="E83" s="112">
        <v>9.98</v>
      </c>
      <c r="F83" s="117">
        <v>21.9</v>
      </c>
      <c r="G83" s="124">
        <f>BDI!$B$23</f>
        <v>0.24873184530590153</v>
      </c>
      <c r="H83" s="119">
        <f t="shared" si="16"/>
        <v>27.34</v>
      </c>
      <c r="I83" s="117">
        <f t="shared" si="17"/>
        <v>272.85000000000002</v>
      </c>
      <c r="J83" s="118" t="s">
        <v>221</v>
      </c>
      <c r="K83" s="190">
        <v>0</v>
      </c>
      <c r="L83" s="189"/>
      <c r="M83" s="190">
        <v>0</v>
      </c>
      <c r="N83" s="189"/>
      <c r="O83" s="190">
        <v>1</v>
      </c>
      <c r="P83" s="189"/>
      <c r="Q83" s="190">
        <v>0</v>
      </c>
      <c r="R83" s="189"/>
      <c r="S83" s="216">
        <f t="shared" si="14"/>
        <v>1</v>
      </c>
      <c r="T83" s="75"/>
      <c r="U83" s="111"/>
    </row>
    <row r="84" spans="1:21" ht="45">
      <c r="A84" s="114" t="s">
        <v>463</v>
      </c>
      <c r="B84" s="120" t="s">
        <v>112</v>
      </c>
      <c r="C84" s="5" t="s">
        <v>113</v>
      </c>
      <c r="D84" s="116" t="s">
        <v>23</v>
      </c>
      <c r="E84" s="115">
        <f>SUM(E80:E83)</f>
        <v>169.10999999999999</v>
      </c>
      <c r="F84" s="117">
        <v>1.63</v>
      </c>
      <c r="G84" s="124">
        <f>BDI!$B$23</f>
        <v>0.24873184530590153</v>
      </c>
      <c r="H84" s="119">
        <f t="shared" si="16"/>
        <v>2.0299999999999998</v>
      </c>
      <c r="I84" s="117">
        <f t="shared" si="17"/>
        <v>343.29</v>
      </c>
      <c r="J84" s="118" t="s">
        <v>222</v>
      </c>
      <c r="K84" s="190">
        <v>0.25</v>
      </c>
      <c r="L84" s="189"/>
      <c r="M84" s="190">
        <v>0</v>
      </c>
      <c r="N84" s="189"/>
      <c r="O84" s="190">
        <v>0.75</v>
      </c>
      <c r="P84" s="189"/>
      <c r="Q84" s="190">
        <v>0</v>
      </c>
      <c r="R84" s="189"/>
      <c r="S84" s="216">
        <f t="shared" si="14"/>
        <v>1</v>
      </c>
      <c r="T84" s="75"/>
      <c r="U84" s="111"/>
    </row>
    <row r="85" spans="1:21">
      <c r="A85" s="114" t="s">
        <v>472</v>
      </c>
      <c r="B85" s="113" t="s">
        <v>450</v>
      </c>
      <c r="C85" s="16" t="s">
        <v>451</v>
      </c>
      <c r="D85" s="116" t="s">
        <v>14</v>
      </c>
      <c r="E85" s="123">
        <v>3</v>
      </c>
      <c r="F85" s="20">
        <v>55.31</v>
      </c>
      <c r="G85" s="124">
        <f>BDI!$B$23</f>
        <v>0.24873184530590153</v>
      </c>
      <c r="H85" s="119">
        <f t="shared" si="16"/>
        <v>69.06</v>
      </c>
      <c r="I85" s="117">
        <f t="shared" si="17"/>
        <v>207.18</v>
      </c>
      <c r="J85" s="21" t="s">
        <v>452</v>
      </c>
      <c r="K85" s="190">
        <v>1</v>
      </c>
      <c r="L85" s="189"/>
      <c r="M85" s="190">
        <v>0</v>
      </c>
      <c r="N85" s="189"/>
      <c r="O85" s="190">
        <v>0</v>
      </c>
      <c r="P85" s="189"/>
      <c r="Q85" s="190">
        <v>0</v>
      </c>
      <c r="R85" s="189"/>
      <c r="S85" s="216">
        <f t="shared" si="14"/>
        <v>1</v>
      </c>
      <c r="T85" s="75"/>
      <c r="U85" s="111">
        <f t="shared" si="15"/>
        <v>0</v>
      </c>
    </row>
    <row r="86" spans="1:21">
      <c r="A86" s="122"/>
      <c r="B86" s="18"/>
      <c r="C86" s="16"/>
      <c r="D86" s="17"/>
      <c r="E86" s="18"/>
      <c r="F86" s="20"/>
      <c r="G86" s="20"/>
      <c r="H86" s="20"/>
      <c r="I86" s="18"/>
      <c r="J86" s="19"/>
      <c r="K86" s="190"/>
      <c r="L86" s="190"/>
      <c r="M86" s="190"/>
      <c r="N86" s="190"/>
      <c r="O86" s="190"/>
      <c r="P86" s="190"/>
      <c r="Q86" s="190"/>
      <c r="R86" s="190"/>
      <c r="S86" s="216">
        <f t="shared" si="14"/>
        <v>0</v>
      </c>
      <c r="T86" s="75"/>
      <c r="U86" s="111">
        <f t="shared" si="15"/>
        <v>0</v>
      </c>
    </row>
    <row r="87" spans="1:21">
      <c r="A87" s="31">
        <v>9</v>
      </c>
      <c r="B87" s="32" t="s">
        <v>15</v>
      </c>
      <c r="C87" s="33"/>
      <c r="D87" s="34"/>
      <c r="E87" s="35"/>
      <c r="F87" s="39"/>
      <c r="G87" s="39"/>
      <c r="H87" s="40"/>
      <c r="I87" s="37">
        <f>I88+I98</f>
        <v>2931.42</v>
      </c>
      <c r="J87" s="38"/>
      <c r="K87" s="35"/>
      <c r="L87" s="35"/>
      <c r="M87" s="35"/>
      <c r="N87" s="35"/>
      <c r="O87" s="35"/>
      <c r="P87" s="35"/>
      <c r="Q87" s="35"/>
      <c r="R87" s="35"/>
      <c r="S87" s="216">
        <f t="shared" si="14"/>
        <v>0</v>
      </c>
      <c r="T87" s="217">
        <f>I87/I$138</f>
        <v>1.2142147129611754E-2</v>
      </c>
      <c r="U87" s="111"/>
    </row>
    <row r="88" spans="1:21">
      <c r="A88" s="114"/>
      <c r="B88" s="9" t="s">
        <v>17</v>
      </c>
      <c r="C88" s="23"/>
      <c r="D88" s="17"/>
      <c r="E88" s="18"/>
      <c r="F88" s="20"/>
      <c r="G88" s="20"/>
      <c r="H88" s="24"/>
      <c r="I88" s="8">
        <f>SUM(I90:I96)</f>
        <v>770.59</v>
      </c>
      <c r="J88" s="7"/>
      <c r="K88" s="190"/>
      <c r="L88" s="190"/>
      <c r="M88" s="190"/>
      <c r="N88" s="190"/>
      <c r="O88" s="190"/>
      <c r="P88" s="190"/>
      <c r="Q88" s="190"/>
      <c r="R88" s="190"/>
      <c r="S88" s="216">
        <f t="shared" si="14"/>
        <v>0</v>
      </c>
      <c r="T88" s="75"/>
      <c r="U88" s="111">
        <f>SUM(L93+N93+P93+R93)</f>
        <v>0</v>
      </c>
    </row>
    <row r="89" spans="1:21">
      <c r="A89" s="114"/>
      <c r="B89" s="10" t="s">
        <v>22</v>
      </c>
      <c r="C89" s="23"/>
      <c r="D89" s="17"/>
      <c r="E89" s="18"/>
      <c r="F89" s="20"/>
      <c r="G89" s="20"/>
      <c r="H89" s="20"/>
      <c r="I89" s="20"/>
      <c r="J89" s="19"/>
      <c r="K89" s="190"/>
      <c r="L89" s="190"/>
      <c r="M89" s="190"/>
      <c r="N89" s="190"/>
      <c r="O89" s="190"/>
      <c r="P89" s="190"/>
      <c r="Q89" s="190"/>
      <c r="R89" s="190"/>
      <c r="S89" s="216">
        <f t="shared" si="14"/>
        <v>0</v>
      </c>
      <c r="T89" s="75"/>
      <c r="U89" s="111">
        <f>SUM(L94+N94+P94+R94)</f>
        <v>0</v>
      </c>
    </row>
    <row r="90" spans="1:21" ht="30">
      <c r="A90" s="114" t="s">
        <v>176</v>
      </c>
      <c r="B90" s="115" t="s">
        <v>1</v>
      </c>
      <c r="C90" s="5" t="s">
        <v>30</v>
      </c>
      <c r="D90" s="116" t="s">
        <v>23</v>
      </c>
      <c r="E90" s="112">
        <v>6.25</v>
      </c>
      <c r="F90" s="117">
        <v>11.18</v>
      </c>
      <c r="G90" s="124">
        <f>BDI!$B$23</f>
        <v>0.24873184530590153</v>
      </c>
      <c r="H90" s="119">
        <f t="shared" ref="H90:H91" si="18">TRUNC(F90*(1+G90),2)</f>
        <v>13.96</v>
      </c>
      <c r="I90" s="117">
        <f t="shared" ref="I90:I91" si="19">TRUNC(E90*H90,2)</f>
        <v>87.25</v>
      </c>
      <c r="J90" s="118" t="s">
        <v>223</v>
      </c>
      <c r="K90" s="190">
        <v>0</v>
      </c>
      <c r="L90" s="189"/>
      <c r="M90" s="190">
        <v>1</v>
      </c>
      <c r="N90" s="189"/>
      <c r="O90" s="190">
        <v>0</v>
      </c>
      <c r="P90" s="189"/>
      <c r="Q90" s="190">
        <v>0</v>
      </c>
      <c r="R90" s="189"/>
      <c r="S90" s="216">
        <f t="shared" si="14"/>
        <v>1</v>
      </c>
      <c r="T90" s="75"/>
      <c r="U90" s="111">
        <f>SUM(L95+N95+P95+R95)</f>
        <v>0</v>
      </c>
    </row>
    <row r="91" spans="1:21" ht="30">
      <c r="A91" s="114" t="s">
        <v>178</v>
      </c>
      <c r="B91" s="115" t="s">
        <v>1</v>
      </c>
      <c r="C91" s="5" t="s">
        <v>31</v>
      </c>
      <c r="D91" s="116" t="s">
        <v>23</v>
      </c>
      <c r="E91" s="112">
        <v>36.57</v>
      </c>
      <c r="F91" s="117">
        <v>13.29</v>
      </c>
      <c r="G91" s="124">
        <f>BDI!$B$23</f>
        <v>0.24873184530590153</v>
      </c>
      <c r="H91" s="119">
        <f t="shared" si="18"/>
        <v>16.59</v>
      </c>
      <c r="I91" s="117">
        <f t="shared" si="19"/>
        <v>606.69000000000005</v>
      </c>
      <c r="J91" s="118" t="s">
        <v>224</v>
      </c>
      <c r="K91" s="190">
        <v>0</v>
      </c>
      <c r="L91" s="189"/>
      <c r="M91" s="190">
        <v>1</v>
      </c>
      <c r="N91" s="189"/>
      <c r="O91" s="190">
        <v>0</v>
      </c>
      <c r="P91" s="189"/>
      <c r="Q91" s="190">
        <v>0</v>
      </c>
      <c r="R91" s="189"/>
      <c r="S91" s="216">
        <f t="shared" si="14"/>
        <v>1</v>
      </c>
      <c r="T91" s="75"/>
      <c r="U91" s="111">
        <f>SUM(L96+N96+P96+R96)</f>
        <v>0</v>
      </c>
    </row>
    <row r="92" spans="1:21">
      <c r="A92" s="114"/>
      <c r="B92" s="10" t="s">
        <v>18</v>
      </c>
      <c r="C92" s="23"/>
      <c r="D92" s="17"/>
      <c r="E92" s="18"/>
      <c r="F92" s="20"/>
      <c r="G92" s="20"/>
      <c r="H92" s="20"/>
      <c r="I92" s="18"/>
      <c r="J92" s="19"/>
      <c r="K92" s="190"/>
      <c r="L92" s="189"/>
      <c r="M92" s="190"/>
      <c r="N92" s="189"/>
      <c r="O92" s="190">
        <v>0</v>
      </c>
      <c r="P92" s="189"/>
      <c r="Q92" s="190">
        <v>0</v>
      </c>
      <c r="R92" s="189"/>
      <c r="S92" s="216">
        <f t="shared" si="14"/>
        <v>0</v>
      </c>
      <c r="T92" s="75"/>
      <c r="U92" s="111"/>
    </row>
    <row r="93" spans="1:21" ht="30">
      <c r="A93" s="114" t="s">
        <v>179</v>
      </c>
      <c r="B93" s="115" t="s">
        <v>59</v>
      </c>
      <c r="C93" s="5" t="s">
        <v>60</v>
      </c>
      <c r="D93" s="116" t="s">
        <v>14</v>
      </c>
      <c r="E93" s="112">
        <v>7</v>
      </c>
      <c r="F93" s="117">
        <v>4.54</v>
      </c>
      <c r="G93" s="124">
        <f>BDI!$B$23</f>
        <v>0.24873184530590153</v>
      </c>
      <c r="H93" s="119">
        <f t="shared" ref="H93:H96" si="20">TRUNC(F93*(1+G93),2)</f>
        <v>5.66</v>
      </c>
      <c r="I93" s="117">
        <f t="shared" ref="I93:I96" si="21">TRUNC(E93*H93,2)</f>
        <v>39.619999999999997</v>
      </c>
      <c r="J93" s="118" t="s">
        <v>225</v>
      </c>
      <c r="K93" s="190">
        <v>0</v>
      </c>
      <c r="L93" s="189"/>
      <c r="M93" s="190">
        <v>1</v>
      </c>
      <c r="N93" s="189"/>
      <c r="O93" s="190">
        <v>0</v>
      </c>
      <c r="P93" s="189"/>
      <c r="Q93" s="190">
        <v>0</v>
      </c>
      <c r="R93" s="189"/>
      <c r="S93" s="216">
        <f t="shared" si="14"/>
        <v>1</v>
      </c>
      <c r="T93" s="75"/>
      <c r="U93" s="111"/>
    </row>
    <row r="94" spans="1:21" ht="30">
      <c r="A94" s="114" t="s">
        <v>180</v>
      </c>
      <c r="B94" s="115" t="s">
        <v>57</v>
      </c>
      <c r="C94" s="5" t="s">
        <v>58</v>
      </c>
      <c r="D94" s="116" t="s">
        <v>14</v>
      </c>
      <c r="E94" s="112">
        <v>2</v>
      </c>
      <c r="F94" s="117">
        <v>5.35</v>
      </c>
      <c r="G94" s="124">
        <f>BDI!$B$23</f>
        <v>0.24873184530590153</v>
      </c>
      <c r="H94" s="119">
        <f t="shared" si="20"/>
        <v>6.68</v>
      </c>
      <c r="I94" s="117">
        <f t="shared" si="21"/>
        <v>13.36</v>
      </c>
      <c r="J94" s="118" t="s">
        <v>226</v>
      </c>
      <c r="K94" s="190">
        <v>0</v>
      </c>
      <c r="L94" s="189"/>
      <c r="M94" s="190">
        <v>1</v>
      </c>
      <c r="N94" s="189"/>
      <c r="O94" s="190">
        <v>0</v>
      </c>
      <c r="P94" s="189"/>
      <c r="Q94" s="190">
        <v>0</v>
      </c>
      <c r="R94" s="189"/>
      <c r="S94" s="216">
        <f t="shared" si="14"/>
        <v>1</v>
      </c>
      <c r="T94" s="75"/>
      <c r="U94" s="111"/>
    </row>
    <row r="95" spans="1:21" ht="30">
      <c r="A95" s="114" t="s">
        <v>342</v>
      </c>
      <c r="B95" s="115" t="s">
        <v>55</v>
      </c>
      <c r="C95" s="5" t="s">
        <v>56</v>
      </c>
      <c r="D95" s="116" t="s">
        <v>14</v>
      </c>
      <c r="E95" s="112">
        <v>1</v>
      </c>
      <c r="F95" s="117">
        <v>6.32</v>
      </c>
      <c r="G95" s="124">
        <f>BDI!$B$23</f>
        <v>0.24873184530590153</v>
      </c>
      <c r="H95" s="119">
        <f t="shared" si="20"/>
        <v>7.89</v>
      </c>
      <c r="I95" s="117">
        <f t="shared" si="21"/>
        <v>7.89</v>
      </c>
      <c r="J95" s="118" t="s">
        <v>227</v>
      </c>
      <c r="K95" s="190">
        <v>0</v>
      </c>
      <c r="L95" s="189"/>
      <c r="M95" s="190">
        <v>1</v>
      </c>
      <c r="N95" s="189"/>
      <c r="O95" s="190">
        <v>0</v>
      </c>
      <c r="P95" s="189"/>
      <c r="Q95" s="190">
        <v>0</v>
      </c>
      <c r="R95" s="189"/>
      <c r="S95" s="216">
        <f t="shared" si="14"/>
        <v>1</v>
      </c>
      <c r="T95" s="75"/>
      <c r="U95" s="111">
        <f>SUM(L100+N100+P100+R100)</f>
        <v>0</v>
      </c>
    </row>
    <row r="96" spans="1:21" ht="30">
      <c r="A96" s="114" t="s">
        <v>343</v>
      </c>
      <c r="B96" s="115" t="s">
        <v>61</v>
      </c>
      <c r="C96" s="5" t="s">
        <v>62</v>
      </c>
      <c r="D96" s="116" t="s">
        <v>14</v>
      </c>
      <c r="E96" s="112">
        <v>2</v>
      </c>
      <c r="F96" s="117">
        <v>6.32</v>
      </c>
      <c r="G96" s="124">
        <f>BDI!$B$23</f>
        <v>0.24873184530590153</v>
      </c>
      <c r="H96" s="119">
        <f t="shared" si="20"/>
        <v>7.89</v>
      </c>
      <c r="I96" s="117">
        <f t="shared" si="21"/>
        <v>15.78</v>
      </c>
      <c r="J96" s="118" t="s">
        <v>228</v>
      </c>
      <c r="K96" s="190">
        <v>0</v>
      </c>
      <c r="L96" s="189"/>
      <c r="M96" s="190">
        <v>1</v>
      </c>
      <c r="N96" s="189"/>
      <c r="O96" s="190"/>
      <c r="P96" s="189"/>
      <c r="Q96" s="190">
        <v>0</v>
      </c>
      <c r="R96" s="189"/>
      <c r="S96" s="216">
        <f t="shared" si="14"/>
        <v>1</v>
      </c>
      <c r="T96" s="75"/>
      <c r="U96" s="111">
        <f>SUM(L101+N101+P101+R101)</f>
        <v>0</v>
      </c>
    </row>
    <row r="97" spans="1:21">
      <c r="A97" s="122"/>
      <c r="B97" s="123"/>
      <c r="C97" s="16"/>
      <c r="D97" s="17"/>
      <c r="E97" s="18"/>
      <c r="F97" s="20"/>
      <c r="G97" s="20"/>
      <c r="H97" s="20"/>
      <c r="I97" s="20"/>
      <c r="J97" s="19"/>
      <c r="K97" s="190"/>
      <c r="L97" s="190"/>
      <c r="M97" s="190"/>
      <c r="N97" s="190"/>
      <c r="O97" s="190"/>
      <c r="P97" s="190"/>
      <c r="Q97" s="190"/>
      <c r="R97" s="190"/>
      <c r="S97" s="216">
        <f t="shared" si="14"/>
        <v>0</v>
      </c>
      <c r="T97" s="75"/>
      <c r="U97" s="111">
        <f>SUM(L102+N102+P102+R102)</f>
        <v>0</v>
      </c>
    </row>
    <row r="98" spans="1:21">
      <c r="A98" s="114"/>
      <c r="B98" s="9" t="s">
        <v>16</v>
      </c>
      <c r="C98" s="23"/>
      <c r="D98" s="17"/>
      <c r="E98" s="18"/>
      <c r="F98" s="20"/>
      <c r="G98" s="20"/>
      <c r="H98" s="24"/>
      <c r="I98" s="8">
        <f>SUM(I100:I111)</f>
        <v>2160.83</v>
      </c>
      <c r="J98" s="7"/>
      <c r="K98" s="190"/>
      <c r="L98" s="190"/>
      <c r="M98" s="190"/>
      <c r="N98" s="190"/>
      <c r="O98" s="190"/>
      <c r="P98" s="190"/>
      <c r="Q98" s="190"/>
      <c r="R98" s="190"/>
      <c r="S98" s="216">
        <f t="shared" si="14"/>
        <v>0</v>
      </c>
      <c r="T98" s="75"/>
      <c r="U98" s="111"/>
    </row>
    <row r="99" spans="1:21">
      <c r="A99" s="114"/>
      <c r="B99" s="10" t="s">
        <v>22</v>
      </c>
      <c r="C99" s="23"/>
      <c r="D99" s="17"/>
      <c r="E99" s="18"/>
      <c r="F99" s="20"/>
      <c r="G99" s="20"/>
      <c r="H99" s="20"/>
      <c r="I99" s="18"/>
      <c r="J99" s="19"/>
      <c r="K99" s="190"/>
      <c r="L99" s="190"/>
      <c r="M99" s="190"/>
      <c r="N99" s="190"/>
      <c r="O99" s="190"/>
      <c r="P99" s="190"/>
      <c r="Q99" s="190"/>
      <c r="R99" s="190"/>
      <c r="S99" s="216">
        <f t="shared" si="14"/>
        <v>0</v>
      </c>
      <c r="T99" s="75"/>
      <c r="U99" s="111">
        <f t="shared" ref="U99:U106" si="22">SUM(L104+N104+P104+R104)</f>
        <v>0</v>
      </c>
    </row>
    <row r="100" spans="1:21" ht="30">
      <c r="A100" s="114" t="s">
        <v>344</v>
      </c>
      <c r="B100" s="115" t="s">
        <v>2</v>
      </c>
      <c r="C100" s="5" t="s">
        <v>32</v>
      </c>
      <c r="D100" s="116" t="s">
        <v>23</v>
      </c>
      <c r="E100" s="112">
        <v>13.3</v>
      </c>
      <c r="F100" s="117">
        <v>12.34</v>
      </c>
      <c r="G100" s="124">
        <f>BDI!$B$23</f>
        <v>0.24873184530590153</v>
      </c>
      <c r="H100" s="119">
        <f t="shared" ref="H100:H102" si="23">TRUNC(F100*(1+G100),2)</f>
        <v>15.4</v>
      </c>
      <c r="I100" s="117">
        <f t="shared" ref="I100:I102" si="24">TRUNC(E100*H100,2)</f>
        <v>204.82</v>
      </c>
      <c r="J100" s="118" t="s">
        <v>229</v>
      </c>
      <c r="K100" s="190">
        <v>0</v>
      </c>
      <c r="L100" s="189"/>
      <c r="M100" s="190">
        <v>1</v>
      </c>
      <c r="N100" s="189"/>
      <c r="O100" s="190">
        <v>0</v>
      </c>
      <c r="P100" s="189"/>
      <c r="Q100" s="190">
        <v>0</v>
      </c>
      <c r="R100" s="189"/>
      <c r="S100" s="216">
        <f t="shared" si="14"/>
        <v>1</v>
      </c>
      <c r="T100" s="75"/>
      <c r="U100" s="111">
        <f t="shared" si="22"/>
        <v>0</v>
      </c>
    </row>
    <row r="101" spans="1:21" ht="30">
      <c r="A101" s="114" t="s">
        <v>345</v>
      </c>
      <c r="B101" s="115" t="s">
        <v>2</v>
      </c>
      <c r="C101" s="5" t="s">
        <v>33</v>
      </c>
      <c r="D101" s="116" t="s">
        <v>23</v>
      </c>
      <c r="E101" s="112">
        <v>3.43</v>
      </c>
      <c r="F101" s="117">
        <v>18.38</v>
      </c>
      <c r="G101" s="124">
        <f>BDI!$B$23</f>
        <v>0.24873184530590153</v>
      </c>
      <c r="H101" s="119">
        <f t="shared" si="23"/>
        <v>22.95</v>
      </c>
      <c r="I101" s="117">
        <f t="shared" si="24"/>
        <v>78.709999999999994</v>
      </c>
      <c r="J101" s="118" t="s">
        <v>230</v>
      </c>
      <c r="K101" s="190">
        <v>0</v>
      </c>
      <c r="L101" s="189"/>
      <c r="M101" s="190">
        <v>1</v>
      </c>
      <c r="N101" s="189"/>
      <c r="O101" s="190">
        <v>0</v>
      </c>
      <c r="P101" s="189"/>
      <c r="Q101" s="190">
        <v>0</v>
      </c>
      <c r="R101" s="189"/>
      <c r="S101" s="216">
        <f t="shared" si="14"/>
        <v>1</v>
      </c>
      <c r="T101" s="75"/>
      <c r="U101" s="111">
        <f t="shared" si="22"/>
        <v>0</v>
      </c>
    </row>
    <row r="102" spans="1:21" ht="30">
      <c r="A102" s="114" t="s">
        <v>346</v>
      </c>
      <c r="B102" s="115" t="s">
        <v>2</v>
      </c>
      <c r="C102" s="5" t="s">
        <v>34</v>
      </c>
      <c r="D102" s="116" t="s">
        <v>23</v>
      </c>
      <c r="E102" s="112">
        <v>33.39</v>
      </c>
      <c r="F102" s="117">
        <v>34.78</v>
      </c>
      <c r="G102" s="124">
        <f>BDI!$B$23</f>
        <v>0.24873184530590153</v>
      </c>
      <c r="H102" s="119">
        <f t="shared" si="23"/>
        <v>43.43</v>
      </c>
      <c r="I102" s="117">
        <f t="shared" si="24"/>
        <v>1450.12</v>
      </c>
      <c r="J102" s="118" t="s">
        <v>231</v>
      </c>
      <c r="K102" s="190">
        <v>0</v>
      </c>
      <c r="L102" s="189"/>
      <c r="M102" s="190">
        <v>1</v>
      </c>
      <c r="N102" s="189"/>
      <c r="O102" s="190">
        <v>0</v>
      </c>
      <c r="P102" s="189"/>
      <c r="Q102" s="190">
        <v>0</v>
      </c>
      <c r="R102" s="189"/>
      <c r="S102" s="216">
        <f t="shared" si="14"/>
        <v>1</v>
      </c>
      <c r="T102" s="75"/>
      <c r="U102" s="111">
        <f t="shared" si="22"/>
        <v>0</v>
      </c>
    </row>
    <row r="103" spans="1:21">
      <c r="A103" s="114"/>
      <c r="B103" s="10" t="s">
        <v>18</v>
      </c>
      <c r="C103" s="23"/>
      <c r="D103" s="17"/>
      <c r="E103" s="18"/>
      <c r="F103" s="20"/>
      <c r="G103" s="20"/>
      <c r="H103" s="20"/>
      <c r="I103" s="18"/>
      <c r="J103" s="19"/>
      <c r="K103" s="190"/>
      <c r="L103" s="189"/>
      <c r="M103" s="190"/>
      <c r="N103" s="189"/>
      <c r="O103" s="190">
        <v>0</v>
      </c>
      <c r="P103" s="189"/>
      <c r="Q103" s="190">
        <v>0</v>
      </c>
      <c r="R103" s="189"/>
      <c r="S103" s="216">
        <f t="shared" si="14"/>
        <v>0</v>
      </c>
      <c r="T103" s="75"/>
      <c r="U103" s="111">
        <f t="shared" si="22"/>
        <v>0</v>
      </c>
    </row>
    <row r="104" spans="1:21" ht="30">
      <c r="A104" s="114" t="s">
        <v>347</v>
      </c>
      <c r="B104" s="115" t="s">
        <v>36</v>
      </c>
      <c r="C104" s="5" t="s">
        <v>37</v>
      </c>
      <c r="D104" s="116" t="s">
        <v>14</v>
      </c>
      <c r="E104" s="112">
        <v>1</v>
      </c>
      <c r="F104" s="117">
        <v>16.47</v>
      </c>
      <c r="G104" s="124">
        <f>BDI!$B$23</f>
        <v>0.24873184530590153</v>
      </c>
      <c r="H104" s="119">
        <f t="shared" ref="H104:H111" si="25">TRUNC(F104*(1+G104),2)</f>
        <v>20.56</v>
      </c>
      <c r="I104" s="117">
        <f t="shared" ref="I104:I111" si="26">TRUNC(E104*H104,2)</f>
        <v>20.56</v>
      </c>
      <c r="J104" s="118" t="s">
        <v>232</v>
      </c>
      <c r="K104" s="190">
        <v>0</v>
      </c>
      <c r="L104" s="189"/>
      <c r="M104" s="190">
        <v>1</v>
      </c>
      <c r="N104" s="189"/>
      <c r="O104" s="190">
        <v>0</v>
      </c>
      <c r="P104" s="189"/>
      <c r="Q104" s="190">
        <v>0</v>
      </c>
      <c r="R104" s="189"/>
      <c r="S104" s="216">
        <f t="shared" si="14"/>
        <v>1</v>
      </c>
      <c r="T104" s="75"/>
      <c r="U104" s="111">
        <f t="shared" si="22"/>
        <v>0</v>
      </c>
    </row>
    <row r="105" spans="1:21" ht="30">
      <c r="A105" s="114" t="s">
        <v>348</v>
      </c>
      <c r="B105" s="115" t="s">
        <v>36</v>
      </c>
      <c r="C105" s="5" t="s">
        <v>38</v>
      </c>
      <c r="D105" s="116" t="s">
        <v>14</v>
      </c>
      <c r="E105" s="112">
        <v>1</v>
      </c>
      <c r="F105" s="117">
        <v>16.47</v>
      </c>
      <c r="G105" s="124">
        <f>BDI!$B$23</f>
        <v>0.24873184530590153</v>
      </c>
      <c r="H105" s="119">
        <f t="shared" si="25"/>
        <v>20.56</v>
      </c>
      <c r="I105" s="117">
        <f t="shared" si="26"/>
        <v>20.56</v>
      </c>
      <c r="J105" s="118" t="s">
        <v>233</v>
      </c>
      <c r="K105" s="190">
        <v>0</v>
      </c>
      <c r="L105" s="189"/>
      <c r="M105" s="190">
        <v>1</v>
      </c>
      <c r="N105" s="189"/>
      <c r="O105" s="190">
        <v>0</v>
      </c>
      <c r="P105" s="189"/>
      <c r="Q105" s="190">
        <v>0</v>
      </c>
      <c r="R105" s="189"/>
      <c r="S105" s="216">
        <f t="shared" si="14"/>
        <v>1</v>
      </c>
      <c r="T105" s="75"/>
      <c r="U105" s="111">
        <f t="shared" si="22"/>
        <v>0</v>
      </c>
    </row>
    <row r="106" spans="1:21" ht="45">
      <c r="A106" s="114" t="s">
        <v>349</v>
      </c>
      <c r="B106" s="115" t="s">
        <v>39</v>
      </c>
      <c r="C106" s="5" t="s">
        <v>40</v>
      </c>
      <c r="D106" s="116" t="s">
        <v>14</v>
      </c>
      <c r="E106" s="112">
        <v>2</v>
      </c>
      <c r="F106" s="117">
        <v>14.84</v>
      </c>
      <c r="G106" s="124">
        <f>BDI!$B$23</f>
        <v>0.24873184530590153</v>
      </c>
      <c r="H106" s="119">
        <f t="shared" si="25"/>
        <v>18.53</v>
      </c>
      <c r="I106" s="117">
        <f t="shared" si="26"/>
        <v>37.06</v>
      </c>
      <c r="J106" s="118" t="s">
        <v>234</v>
      </c>
      <c r="K106" s="190">
        <v>0</v>
      </c>
      <c r="L106" s="189"/>
      <c r="M106" s="190">
        <v>1</v>
      </c>
      <c r="N106" s="189"/>
      <c r="O106" s="190">
        <v>0</v>
      </c>
      <c r="P106" s="189"/>
      <c r="Q106" s="190">
        <v>0</v>
      </c>
      <c r="R106" s="189"/>
      <c r="S106" s="216">
        <f t="shared" si="14"/>
        <v>1</v>
      </c>
      <c r="T106" s="75"/>
      <c r="U106" s="111">
        <f t="shared" si="22"/>
        <v>0</v>
      </c>
    </row>
    <row r="107" spans="1:21" ht="30">
      <c r="A107" s="114" t="s">
        <v>350</v>
      </c>
      <c r="B107" s="115" t="s">
        <v>43</v>
      </c>
      <c r="C107" s="5" t="s">
        <v>41</v>
      </c>
      <c r="D107" s="116" t="s">
        <v>14</v>
      </c>
      <c r="E107" s="112">
        <v>4</v>
      </c>
      <c r="F107" s="117">
        <v>6.37</v>
      </c>
      <c r="G107" s="124">
        <f>BDI!$B$23</f>
        <v>0.24873184530590153</v>
      </c>
      <c r="H107" s="119">
        <f t="shared" si="25"/>
        <v>7.95</v>
      </c>
      <c r="I107" s="117">
        <f t="shared" si="26"/>
        <v>31.8</v>
      </c>
      <c r="J107" s="118" t="s">
        <v>235</v>
      </c>
      <c r="K107" s="190">
        <v>0</v>
      </c>
      <c r="L107" s="189"/>
      <c r="M107" s="190">
        <v>1</v>
      </c>
      <c r="N107" s="189"/>
      <c r="O107" s="190">
        <v>0</v>
      </c>
      <c r="P107" s="189"/>
      <c r="Q107" s="190">
        <v>0</v>
      </c>
      <c r="R107" s="189"/>
      <c r="S107" s="216">
        <f t="shared" si="14"/>
        <v>1</v>
      </c>
      <c r="T107" s="75"/>
      <c r="U107" s="111"/>
    </row>
    <row r="108" spans="1:21" ht="30">
      <c r="A108" s="114" t="s">
        <v>351</v>
      </c>
      <c r="B108" s="115" t="s">
        <v>63</v>
      </c>
      <c r="C108" s="5" t="s">
        <v>42</v>
      </c>
      <c r="D108" s="116" t="s">
        <v>14</v>
      </c>
      <c r="E108" s="112">
        <v>2</v>
      </c>
      <c r="F108" s="117">
        <v>10.6</v>
      </c>
      <c r="G108" s="124">
        <f>BDI!$B$23</f>
        <v>0.24873184530590153</v>
      </c>
      <c r="H108" s="119">
        <f t="shared" si="25"/>
        <v>13.23</v>
      </c>
      <c r="I108" s="117">
        <f t="shared" si="26"/>
        <v>26.46</v>
      </c>
      <c r="J108" s="118" t="s">
        <v>236</v>
      </c>
      <c r="K108" s="190">
        <v>0</v>
      </c>
      <c r="L108" s="189"/>
      <c r="M108" s="190">
        <v>1</v>
      </c>
      <c r="N108" s="189"/>
      <c r="O108" s="190">
        <v>0</v>
      </c>
      <c r="P108" s="189"/>
      <c r="Q108" s="190">
        <v>0</v>
      </c>
      <c r="R108" s="189"/>
      <c r="S108" s="216">
        <f t="shared" si="14"/>
        <v>1</v>
      </c>
      <c r="T108" s="217"/>
      <c r="U108" s="111"/>
    </row>
    <row r="109" spans="1:21" ht="45">
      <c r="A109" s="114" t="s">
        <v>352</v>
      </c>
      <c r="B109" s="115" t="s">
        <v>44</v>
      </c>
      <c r="C109" s="5" t="s">
        <v>40</v>
      </c>
      <c r="D109" s="116" t="s">
        <v>14</v>
      </c>
      <c r="E109" s="112">
        <v>4</v>
      </c>
      <c r="F109" s="117">
        <v>37.81</v>
      </c>
      <c r="G109" s="124">
        <f>BDI!$B$23</f>
        <v>0.24873184530590153</v>
      </c>
      <c r="H109" s="119">
        <f t="shared" si="25"/>
        <v>47.21</v>
      </c>
      <c r="I109" s="117">
        <f t="shared" si="26"/>
        <v>188.84</v>
      </c>
      <c r="J109" s="118" t="s">
        <v>237</v>
      </c>
      <c r="K109" s="190">
        <v>0</v>
      </c>
      <c r="L109" s="189"/>
      <c r="M109" s="190">
        <v>1</v>
      </c>
      <c r="N109" s="189"/>
      <c r="O109" s="190">
        <v>0</v>
      </c>
      <c r="P109" s="189"/>
      <c r="Q109" s="190">
        <v>0</v>
      </c>
      <c r="R109" s="189"/>
      <c r="S109" s="216">
        <f t="shared" si="14"/>
        <v>1</v>
      </c>
      <c r="T109" s="75"/>
      <c r="U109" s="111">
        <f>SUM(L114+N114+P114+R114)</f>
        <v>0</v>
      </c>
    </row>
    <row r="110" spans="1:21" ht="45">
      <c r="A110" s="114" t="s">
        <v>353</v>
      </c>
      <c r="B110" s="115" t="s">
        <v>45</v>
      </c>
      <c r="C110" s="5" t="s">
        <v>46</v>
      </c>
      <c r="D110" s="116" t="s">
        <v>14</v>
      </c>
      <c r="E110" s="112">
        <v>1</v>
      </c>
      <c r="F110" s="117">
        <v>7.23</v>
      </c>
      <c r="G110" s="124">
        <f>BDI!$B$23</f>
        <v>0.24873184530590153</v>
      </c>
      <c r="H110" s="119">
        <f t="shared" si="25"/>
        <v>9.02</v>
      </c>
      <c r="I110" s="117">
        <f t="shared" si="26"/>
        <v>9.02</v>
      </c>
      <c r="J110" s="118" t="s">
        <v>238</v>
      </c>
      <c r="K110" s="190">
        <v>0</v>
      </c>
      <c r="L110" s="189"/>
      <c r="M110" s="190">
        <v>1</v>
      </c>
      <c r="N110" s="189"/>
      <c r="O110" s="190">
        <v>0</v>
      </c>
      <c r="P110" s="189"/>
      <c r="Q110" s="190">
        <v>0</v>
      </c>
      <c r="R110" s="189"/>
      <c r="S110" s="216">
        <f t="shared" si="14"/>
        <v>1</v>
      </c>
      <c r="T110" s="75"/>
      <c r="U110" s="111">
        <f>SUM(L115+N115+P115+R115)</f>
        <v>0</v>
      </c>
    </row>
    <row r="111" spans="1:21" ht="45">
      <c r="A111" s="114" t="s">
        <v>354</v>
      </c>
      <c r="B111" s="115" t="s">
        <v>64</v>
      </c>
      <c r="C111" s="5" t="s">
        <v>47</v>
      </c>
      <c r="D111" s="116" t="s">
        <v>14</v>
      </c>
      <c r="E111" s="112">
        <v>3</v>
      </c>
      <c r="F111" s="117">
        <v>24.8</v>
      </c>
      <c r="G111" s="124">
        <f>BDI!$B$23</f>
        <v>0.24873184530590153</v>
      </c>
      <c r="H111" s="119">
        <f t="shared" si="25"/>
        <v>30.96</v>
      </c>
      <c r="I111" s="117">
        <f t="shared" si="26"/>
        <v>92.88</v>
      </c>
      <c r="J111" s="118" t="s">
        <v>239</v>
      </c>
      <c r="K111" s="190">
        <v>0</v>
      </c>
      <c r="L111" s="189"/>
      <c r="M111" s="190">
        <v>1</v>
      </c>
      <c r="N111" s="189"/>
      <c r="O111" s="190">
        <v>0</v>
      </c>
      <c r="P111" s="189"/>
      <c r="Q111" s="190">
        <v>0</v>
      </c>
      <c r="R111" s="189"/>
      <c r="S111" s="216">
        <f t="shared" si="14"/>
        <v>1</v>
      </c>
      <c r="T111" s="75"/>
      <c r="U111" s="111">
        <f>SUM(L116+N116+P116+R116)</f>
        <v>0</v>
      </c>
    </row>
    <row r="112" spans="1:21">
      <c r="A112" s="114"/>
      <c r="B112" s="123"/>
      <c r="C112" s="16"/>
      <c r="D112" s="17"/>
      <c r="E112" s="18"/>
      <c r="F112" s="20"/>
      <c r="G112" s="20"/>
      <c r="H112" s="20"/>
      <c r="I112" s="18"/>
      <c r="J112" s="19"/>
      <c r="K112" s="190"/>
      <c r="L112" s="190"/>
      <c r="M112" s="190"/>
      <c r="N112" s="190"/>
      <c r="O112" s="190"/>
      <c r="P112" s="190"/>
      <c r="Q112" s="190"/>
      <c r="R112" s="190"/>
      <c r="S112" s="216">
        <f t="shared" si="14"/>
        <v>0</v>
      </c>
      <c r="T112" s="75"/>
      <c r="U112" s="111">
        <f>SUM(L117+N117+P117+R117)</f>
        <v>0</v>
      </c>
    </row>
    <row r="113" spans="1:21">
      <c r="A113" s="31">
        <v>10</v>
      </c>
      <c r="B113" s="32" t="s">
        <v>48</v>
      </c>
      <c r="C113" s="33"/>
      <c r="D113" s="34"/>
      <c r="E113" s="35"/>
      <c r="F113" s="39"/>
      <c r="G113" s="39"/>
      <c r="H113" s="40"/>
      <c r="I113" s="37">
        <f>SUM(I114:I117)</f>
        <v>1263.32</v>
      </c>
      <c r="J113" s="38"/>
      <c r="K113" s="198"/>
      <c r="L113" s="198"/>
      <c r="M113" s="198"/>
      <c r="N113" s="198"/>
      <c r="O113" s="198"/>
      <c r="P113" s="198"/>
      <c r="Q113" s="198"/>
      <c r="R113" s="198"/>
      <c r="S113" s="216">
        <f t="shared" si="14"/>
        <v>0</v>
      </c>
      <c r="T113" s="217">
        <f>I113/I$138</f>
        <v>5.2327599974691863E-3</v>
      </c>
      <c r="U113" s="111"/>
    </row>
    <row r="114" spans="1:21" ht="30">
      <c r="A114" s="114" t="s">
        <v>355</v>
      </c>
      <c r="B114" s="115" t="s">
        <v>21</v>
      </c>
      <c r="C114" s="5" t="s">
        <v>154</v>
      </c>
      <c r="D114" s="116" t="s">
        <v>14</v>
      </c>
      <c r="E114" s="112">
        <v>1</v>
      </c>
      <c r="F114" s="117">
        <v>77.84</v>
      </c>
      <c r="G114" s="124">
        <f>BDI!$B$23</f>
        <v>0.24873184530590153</v>
      </c>
      <c r="H114" s="119">
        <f t="shared" ref="H114:H117" si="27">TRUNC(F114*(1+G114),2)</f>
        <v>97.2</v>
      </c>
      <c r="I114" s="117">
        <f t="shared" ref="I114:I117" si="28">TRUNC(E114*H114,2)</f>
        <v>97.2</v>
      </c>
      <c r="J114" s="118" t="s">
        <v>240</v>
      </c>
      <c r="K114" s="190">
        <v>0</v>
      </c>
      <c r="L114" s="189"/>
      <c r="M114" s="190">
        <v>1</v>
      </c>
      <c r="N114" s="189"/>
      <c r="O114" s="190">
        <v>0</v>
      </c>
      <c r="P114" s="189"/>
      <c r="Q114" s="190">
        <v>0</v>
      </c>
      <c r="R114" s="189"/>
      <c r="S114" s="216">
        <f t="shared" si="14"/>
        <v>1</v>
      </c>
      <c r="T114" s="217"/>
      <c r="U114" s="111"/>
    </row>
    <row r="115" spans="1:21" ht="45">
      <c r="A115" s="114" t="s">
        <v>362</v>
      </c>
      <c r="B115" s="115" t="s">
        <v>52</v>
      </c>
      <c r="C115" s="5" t="s">
        <v>93</v>
      </c>
      <c r="D115" s="116" t="s">
        <v>14</v>
      </c>
      <c r="E115" s="112">
        <v>2</v>
      </c>
      <c r="F115" s="117">
        <v>305.52999999999997</v>
      </c>
      <c r="G115" s="124">
        <f>BDI!$B$23</f>
        <v>0.24873184530590153</v>
      </c>
      <c r="H115" s="119">
        <f t="shared" si="27"/>
        <v>381.52</v>
      </c>
      <c r="I115" s="117">
        <f t="shared" si="28"/>
        <v>763.04</v>
      </c>
      <c r="J115" s="118" t="s">
        <v>241</v>
      </c>
      <c r="K115" s="190">
        <v>0</v>
      </c>
      <c r="L115" s="189"/>
      <c r="M115" s="190">
        <v>0</v>
      </c>
      <c r="N115" s="189"/>
      <c r="O115" s="190">
        <v>0</v>
      </c>
      <c r="P115" s="189"/>
      <c r="Q115" s="190">
        <v>1</v>
      </c>
      <c r="R115" s="189"/>
      <c r="S115" s="216">
        <f t="shared" si="14"/>
        <v>1</v>
      </c>
      <c r="T115" s="75"/>
      <c r="U115" s="111">
        <f>SUM(L120+N120+P120+R120)</f>
        <v>0</v>
      </c>
    </row>
    <row r="116" spans="1:21" ht="45">
      <c r="A116" s="114" t="s">
        <v>363</v>
      </c>
      <c r="B116" s="115" t="s">
        <v>53</v>
      </c>
      <c r="C116" s="5" t="s">
        <v>92</v>
      </c>
      <c r="D116" s="116" t="s">
        <v>14</v>
      </c>
      <c r="E116" s="112">
        <v>2</v>
      </c>
      <c r="F116" s="117">
        <v>137.93</v>
      </c>
      <c r="G116" s="124">
        <f>BDI!$B$23</f>
        <v>0.24873184530590153</v>
      </c>
      <c r="H116" s="119">
        <f t="shared" si="27"/>
        <v>172.23</v>
      </c>
      <c r="I116" s="117">
        <f t="shared" si="28"/>
        <v>344.46</v>
      </c>
      <c r="J116" s="118" t="s">
        <v>242</v>
      </c>
      <c r="K116" s="190">
        <v>0</v>
      </c>
      <c r="L116" s="189"/>
      <c r="M116" s="190">
        <v>0</v>
      </c>
      <c r="N116" s="189"/>
      <c r="O116" s="190">
        <v>0</v>
      </c>
      <c r="P116" s="189"/>
      <c r="Q116" s="190">
        <v>1</v>
      </c>
      <c r="R116" s="189"/>
      <c r="S116" s="216">
        <f t="shared" si="14"/>
        <v>1</v>
      </c>
      <c r="T116" s="75"/>
      <c r="U116" s="111"/>
    </row>
    <row r="117" spans="1:21" ht="45">
      <c r="A117" s="114" t="s">
        <v>364</v>
      </c>
      <c r="B117" s="115" t="s">
        <v>54</v>
      </c>
      <c r="C117" s="5" t="s">
        <v>91</v>
      </c>
      <c r="D117" s="116" t="s">
        <v>14</v>
      </c>
      <c r="E117" s="112">
        <v>1</v>
      </c>
      <c r="F117" s="117">
        <v>46.95</v>
      </c>
      <c r="G117" s="124">
        <f>BDI!$B$23</f>
        <v>0.24873184530590153</v>
      </c>
      <c r="H117" s="119">
        <f t="shared" si="27"/>
        <v>58.62</v>
      </c>
      <c r="I117" s="117">
        <f t="shared" si="28"/>
        <v>58.62</v>
      </c>
      <c r="J117" s="118" t="s">
        <v>243</v>
      </c>
      <c r="K117" s="190">
        <v>0</v>
      </c>
      <c r="L117" s="189"/>
      <c r="M117" s="190">
        <v>1</v>
      </c>
      <c r="N117" s="189"/>
      <c r="O117" s="190">
        <v>0</v>
      </c>
      <c r="P117" s="189"/>
      <c r="Q117" s="190">
        <v>0</v>
      </c>
      <c r="R117" s="189"/>
      <c r="S117" s="216">
        <f t="shared" si="14"/>
        <v>1</v>
      </c>
      <c r="T117" s="217"/>
      <c r="U117" s="111"/>
    </row>
    <row r="118" spans="1:21">
      <c r="A118" s="122"/>
      <c r="B118" s="123"/>
      <c r="C118" s="16"/>
      <c r="D118" s="17"/>
      <c r="E118" s="18"/>
      <c r="F118" s="20"/>
      <c r="G118" s="20"/>
      <c r="H118" s="20"/>
      <c r="I118" s="18"/>
      <c r="J118" s="19"/>
      <c r="K118" s="190"/>
      <c r="L118" s="190"/>
      <c r="M118" s="190"/>
      <c r="N118" s="190"/>
      <c r="O118" s="190"/>
      <c r="P118" s="190"/>
      <c r="Q118" s="190"/>
      <c r="R118" s="190"/>
      <c r="S118" s="216">
        <f t="shared" si="14"/>
        <v>0</v>
      </c>
      <c r="T118" s="75"/>
      <c r="U118" s="111">
        <f>SUM(L123+N123+P123+R123)</f>
        <v>0</v>
      </c>
    </row>
    <row r="119" spans="1:21">
      <c r="A119" s="31">
        <v>11</v>
      </c>
      <c r="B119" s="32" t="s">
        <v>19</v>
      </c>
      <c r="C119" s="33"/>
      <c r="D119" s="34"/>
      <c r="E119" s="35"/>
      <c r="F119" s="39"/>
      <c r="G119" s="39"/>
      <c r="H119" s="40"/>
      <c r="I119" s="37">
        <f>SUM(I120)</f>
        <v>336.73</v>
      </c>
      <c r="J119" s="38"/>
      <c r="K119" s="198"/>
      <c r="L119" s="198"/>
      <c r="M119" s="198"/>
      <c r="N119" s="198"/>
      <c r="O119" s="198"/>
      <c r="P119" s="198"/>
      <c r="Q119" s="198"/>
      <c r="R119" s="198"/>
      <c r="S119" s="216">
        <f t="shared" si="14"/>
        <v>0</v>
      </c>
      <c r="T119" s="217">
        <f>I119/I$138</f>
        <v>1.394759264436405E-3</v>
      </c>
      <c r="U119" s="111">
        <f>SUM(L124+N124+P124+R124)</f>
        <v>0</v>
      </c>
    </row>
    <row r="120" spans="1:21" ht="60">
      <c r="A120" s="121" t="s">
        <v>356</v>
      </c>
      <c r="B120" s="11" t="s">
        <v>20</v>
      </c>
      <c r="C120" s="12" t="s">
        <v>153</v>
      </c>
      <c r="D120" s="13" t="s">
        <v>14</v>
      </c>
      <c r="E120" s="125">
        <v>1</v>
      </c>
      <c r="F120" s="15">
        <v>269.66000000000003</v>
      </c>
      <c r="G120" s="124">
        <f>BDI!$B$23</f>
        <v>0.24873184530590153</v>
      </c>
      <c r="H120" s="119">
        <f>TRUNC(F120*(1+G120),2)</f>
        <v>336.73</v>
      </c>
      <c r="I120" s="117">
        <f>TRUNC(E120*H120,2)</f>
        <v>336.73</v>
      </c>
      <c r="J120" s="26" t="s">
        <v>244</v>
      </c>
      <c r="K120" s="190">
        <v>0</v>
      </c>
      <c r="L120" s="189"/>
      <c r="M120" s="190">
        <v>0</v>
      </c>
      <c r="N120" s="189"/>
      <c r="O120" s="190">
        <v>0</v>
      </c>
      <c r="P120" s="189"/>
      <c r="Q120" s="190">
        <v>1</v>
      </c>
      <c r="R120" s="189"/>
      <c r="S120" s="216">
        <f t="shared" si="14"/>
        <v>1</v>
      </c>
      <c r="T120" s="75"/>
      <c r="U120" s="111">
        <f>SUM(L125+N125+P125+R125)</f>
        <v>0</v>
      </c>
    </row>
    <row r="121" spans="1:21">
      <c r="J121" s="209"/>
      <c r="K121" s="190"/>
      <c r="L121" s="190"/>
      <c r="M121" s="190"/>
      <c r="N121" s="190"/>
      <c r="O121" s="190"/>
      <c r="P121" s="190"/>
      <c r="Q121" s="190"/>
      <c r="R121" s="190"/>
      <c r="S121" s="216">
        <f t="shared" si="14"/>
        <v>0</v>
      </c>
      <c r="T121" s="75"/>
      <c r="U121" s="111">
        <f>SUM(L126+N126+P126+R126)</f>
        <v>0</v>
      </c>
    </row>
    <row r="122" spans="1:21">
      <c r="A122" s="31">
        <v>12</v>
      </c>
      <c r="B122" s="32" t="s">
        <v>175</v>
      </c>
      <c r="C122" s="33"/>
      <c r="D122" s="34"/>
      <c r="E122" s="35"/>
      <c r="F122" s="39"/>
      <c r="G122" s="39"/>
      <c r="H122" s="40"/>
      <c r="I122" s="37">
        <f>SUM(I123:I127)</f>
        <v>4398.54</v>
      </c>
      <c r="J122" s="38"/>
      <c r="K122" s="198"/>
      <c r="L122" s="198"/>
      <c r="M122" s="198"/>
      <c r="N122" s="198"/>
      <c r="O122" s="198"/>
      <c r="P122" s="198"/>
      <c r="Q122" s="198"/>
      <c r="R122" s="198"/>
      <c r="S122" s="216">
        <f t="shared" si="14"/>
        <v>0</v>
      </c>
      <c r="T122" s="217">
        <f>I122/I$138</f>
        <v>1.8219061013257223E-2</v>
      </c>
      <c r="U122" s="111">
        <f>SUM(L127+N127+P127+R127)</f>
        <v>0</v>
      </c>
    </row>
    <row r="123" spans="1:21" ht="60">
      <c r="A123" s="122" t="s">
        <v>357</v>
      </c>
      <c r="B123" s="123" t="s">
        <v>371</v>
      </c>
      <c r="C123" s="16"/>
      <c r="D123" s="116" t="s">
        <v>13</v>
      </c>
      <c r="E123" s="113">
        <f>E124</f>
        <v>82.2</v>
      </c>
      <c r="F123" s="20">
        <v>3.55</v>
      </c>
      <c r="G123" s="124">
        <f>BDI!$B$23</f>
        <v>0.24873184530590153</v>
      </c>
      <c r="H123" s="119">
        <f>TRUNC(F123*(1+G123),2)</f>
        <v>4.43</v>
      </c>
      <c r="I123" s="117">
        <f>TRUNC(E123*H123,2)</f>
        <v>364.14</v>
      </c>
      <c r="J123" s="21" t="s">
        <v>308</v>
      </c>
      <c r="K123" s="190"/>
      <c r="L123" s="189"/>
      <c r="M123" s="190">
        <v>1</v>
      </c>
      <c r="N123" s="189"/>
      <c r="O123" s="190">
        <v>0</v>
      </c>
      <c r="P123" s="189"/>
      <c r="Q123" s="190">
        <v>0</v>
      </c>
      <c r="R123" s="189"/>
      <c r="S123" s="216">
        <f t="shared" si="14"/>
        <v>1</v>
      </c>
      <c r="T123" s="75"/>
      <c r="U123" s="111"/>
    </row>
    <row r="124" spans="1:21" ht="60">
      <c r="A124" s="122" t="s">
        <v>358</v>
      </c>
      <c r="B124" s="115" t="s">
        <v>177</v>
      </c>
      <c r="C124" s="5"/>
      <c r="D124" s="116" t="s">
        <v>13</v>
      </c>
      <c r="E124" s="112">
        <f>(E39+E40)*2</f>
        <v>82.2</v>
      </c>
      <c r="F124" s="117">
        <v>24.61</v>
      </c>
      <c r="G124" s="124">
        <f>BDI!$B$23</f>
        <v>0.24873184530590153</v>
      </c>
      <c r="H124" s="119">
        <f>TRUNC(F124*(1+G124),2)</f>
        <v>30.73</v>
      </c>
      <c r="I124" s="117">
        <f>TRUNC(E124*H124,2)</f>
        <v>2526</v>
      </c>
      <c r="J124" s="118" t="s">
        <v>245</v>
      </c>
      <c r="K124" s="190"/>
      <c r="L124" s="189"/>
      <c r="M124" s="190"/>
      <c r="N124" s="189"/>
      <c r="O124" s="190">
        <v>1</v>
      </c>
      <c r="P124" s="189"/>
      <c r="Q124" s="190">
        <v>0</v>
      </c>
      <c r="R124" s="189"/>
      <c r="S124" s="216">
        <f t="shared" si="14"/>
        <v>1</v>
      </c>
      <c r="T124" s="217"/>
      <c r="U124" s="111"/>
    </row>
    <row r="125" spans="1:21">
      <c r="A125" s="122" t="s">
        <v>359</v>
      </c>
      <c r="B125" s="115" t="s">
        <v>181</v>
      </c>
      <c r="C125" s="5"/>
      <c r="D125" s="116" t="s">
        <v>13</v>
      </c>
      <c r="E125" s="112">
        <v>82.2</v>
      </c>
      <c r="F125" s="117">
        <v>2.74</v>
      </c>
      <c r="G125" s="124">
        <f>BDI!$B$23</f>
        <v>0.24873184530590153</v>
      </c>
      <c r="H125" s="119">
        <f t="shared" ref="H125:H127" si="29">TRUNC(F125*(1+G125),2)</f>
        <v>3.42</v>
      </c>
      <c r="I125" s="117">
        <f>TRUNC(E125*H125,2)</f>
        <v>281.12</v>
      </c>
      <c r="J125" s="118" t="s">
        <v>246</v>
      </c>
      <c r="K125" s="190"/>
      <c r="L125" s="189"/>
      <c r="M125" s="190"/>
      <c r="N125" s="189"/>
      <c r="O125" s="190">
        <v>0</v>
      </c>
      <c r="P125" s="189"/>
      <c r="Q125" s="190">
        <v>1</v>
      </c>
      <c r="R125" s="189"/>
      <c r="S125" s="216">
        <f t="shared" si="14"/>
        <v>1</v>
      </c>
      <c r="T125" s="75"/>
      <c r="U125" s="111">
        <f t="shared" ref="U125:U130" si="30">SUM(L130+N130+P130+R130)</f>
        <v>0</v>
      </c>
    </row>
    <row r="126" spans="1:21" ht="30">
      <c r="A126" s="122" t="s">
        <v>360</v>
      </c>
      <c r="B126" s="115" t="s">
        <v>182</v>
      </c>
      <c r="C126" s="5"/>
      <c r="D126" s="116" t="s">
        <v>13</v>
      </c>
      <c r="E126" s="112">
        <v>82.2</v>
      </c>
      <c r="F126" s="117">
        <v>8.84</v>
      </c>
      <c r="G126" s="124">
        <f>BDI!$B$23</f>
        <v>0.24873184530590153</v>
      </c>
      <c r="H126" s="119">
        <f t="shared" si="29"/>
        <v>11.03</v>
      </c>
      <c r="I126" s="117">
        <f t="shared" ref="I126:I127" si="31">TRUNC(E126*H126,2)</f>
        <v>906.66</v>
      </c>
      <c r="J126" s="118" t="s">
        <v>247</v>
      </c>
      <c r="K126" s="190"/>
      <c r="L126" s="189"/>
      <c r="M126" s="190"/>
      <c r="N126" s="189"/>
      <c r="O126" s="190">
        <v>0</v>
      </c>
      <c r="P126" s="189"/>
      <c r="Q126" s="190">
        <v>1</v>
      </c>
      <c r="R126" s="189"/>
      <c r="S126" s="216">
        <f t="shared" si="14"/>
        <v>1</v>
      </c>
      <c r="T126" s="75"/>
      <c r="U126" s="111">
        <f t="shared" si="30"/>
        <v>0</v>
      </c>
    </row>
    <row r="127" spans="1:21" ht="30">
      <c r="A127" s="122" t="s">
        <v>361</v>
      </c>
      <c r="B127" s="115" t="s">
        <v>183</v>
      </c>
      <c r="C127" s="5"/>
      <c r="D127" s="116" t="s">
        <v>13</v>
      </c>
      <c r="E127" s="112">
        <f>4.5*3</f>
        <v>13.5</v>
      </c>
      <c r="F127" s="117">
        <v>19.02</v>
      </c>
      <c r="G127" s="124">
        <f>BDI!$B$23</f>
        <v>0.24873184530590153</v>
      </c>
      <c r="H127" s="119">
        <f t="shared" si="29"/>
        <v>23.75</v>
      </c>
      <c r="I127" s="117">
        <f t="shared" si="31"/>
        <v>320.62</v>
      </c>
      <c r="J127" s="118" t="s">
        <v>248</v>
      </c>
      <c r="K127" s="190"/>
      <c r="L127" s="189"/>
      <c r="M127" s="190"/>
      <c r="N127" s="189"/>
      <c r="O127" s="190">
        <v>0</v>
      </c>
      <c r="P127" s="189"/>
      <c r="Q127" s="190">
        <v>1</v>
      </c>
      <c r="R127" s="189"/>
      <c r="S127" s="216">
        <f t="shared" si="14"/>
        <v>1</v>
      </c>
      <c r="T127" s="75"/>
      <c r="U127" s="111">
        <f t="shared" si="30"/>
        <v>0</v>
      </c>
    </row>
    <row r="128" spans="1:21">
      <c r="A128" s="114"/>
      <c r="B128" s="115"/>
      <c r="C128" s="5"/>
      <c r="D128" s="116"/>
      <c r="E128" s="112"/>
      <c r="F128" s="117"/>
      <c r="G128" s="124"/>
      <c r="H128" s="119"/>
      <c r="I128" s="117"/>
      <c r="J128" s="118"/>
      <c r="K128" s="190"/>
      <c r="L128" s="190"/>
      <c r="M128" s="190"/>
      <c r="N128" s="190"/>
      <c r="O128" s="190"/>
      <c r="P128" s="190"/>
      <c r="Q128" s="190"/>
      <c r="R128" s="190"/>
      <c r="S128" s="216">
        <f t="shared" si="14"/>
        <v>0</v>
      </c>
      <c r="T128" s="75"/>
      <c r="U128" s="111">
        <f t="shared" si="30"/>
        <v>0</v>
      </c>
    </row>
    <row r="129" spans="1:21">
      <c r="A129" s="31">
        <v>13</v>
      </c>
      <c r="B129" s="32" t="s">
        <v>307</v>
      </c>
      <c r="C129" s="33"/>
      <c r="D129" s="34"/>
      <c r="E129" s="35"/>
      <c r="F129" s="39"/>
      <c r="G129" s="39"/>
      <c r="H129" s="40"/>
      <c r="I129" s="37">
        <f>SUM(I130:I135)</f>
        <v>1627.21</v>
      </c>
      <c r="J129" s="38"/>
      <c r="K129" s="198"/>
      <c r="L129" s="198"/>
      <c r="M129" s="198"/>
      <c r="N129" s="198"/>
      <c r="O129" s="198"/>
      <c r="P129" s="198"/>
      <c r="Q129" s="198"/>
      <c r="R129" s="198"/>
      <c r="S129" s="216">
        <f t="shared" si="14"/>
        <v>0</v>
      </c>
      <c r="T129" s="217">
        <f>I129/I$138</f>
        <v>6.7400178857944422E-3</v>
      </c>
      <c r="U129" s="111">
        <f t="shared" si="30"/>
        <v>0</v>
      </c>
    </row>
    <row r="130" spans="1:21">
      <c r="A130" s="114" t="s">
        <v>365</v>
      </c>
      <c r="B130" s="115" t="s">
        <v>249</v>
      </c>
      <c r="C130" s="5"/>
      <c r="D130" s="116" t="s">
        <v>13</v>
      </c>
      <c r="E130" s="112">
        <v>215.07</v>
      </c>
      <c r="F130" s="117">
        <v>1.78</v>
      </c>
      <c r="G130" s="124">
        <f>BDI!$B$23</f>
        <v>0.24873184530590153</v>
      </c>
      <c r="H130" s="119">
        <f t="shared" ref="H130" si="32">TRUNC(F130*(1+G130),2)</f>
        <v>2.2200000000000002</v>
      </c>
      <c r="I130" s="117">
        <f t="shared" ref="I130:I134" si="33">TRUNC(E130*H130,2)</f>
        <v>477.45</v>
      </c>
      <c r="J130" s="118" t="s">
        <v>195</v>
      </c>
      <c r="K130" s="190">
        <v>1</v>
      </c>
      <c r="L130" s="189"/>
      <c r="M130" s="190"/>
      <c r="N130" s="189"/>
      <c r="O130" s="190">
        <v>0</v>
      </c>
      <c r="P130" s="189"/>
      <c r="Q130" s="190">
        <v>0</v>
      </c>
      <c r="R130" s="189"/>
      <c r="S130" s="216">
        <f t="shared" si="14"/>
        <v>1</v>
      </c>
      <c r="T130" s="75"/>
      <c r="U130" s="111">
        <f t="shared" si="30"/>
        <v>0</v>
      </c>
    </row>
    <row r="131" spans="1:21" ht="30">
      <c r="A131" s="114" t="s">
        <v>366</v>
      </c>
      <c r="B131" s="115" t="s">
        <v>192</v>
      </c>
      <c r="C131" s="5"/>
      <c r="D131" s="116" t="s">
        <v>23</v>
      </c>
      <c r="E131" s="112">
        <f>E90+E91+E100+E101</f>
        <v>59.550000000000004</v>
      </c>
      <c r="F131" s="117">
        <v>7.89</v>
      </c>
      <c r="G131" s="124">
        <f>BDI!$B$23</f>
        <v>0.24873184530590153</v>
      </c>
      <c r="H131" s="119">
        <f>TRUNC(F131*(1+G131),2)</f>
        <v>9.85</v>
      </c>
      <c r="I131" s="117">
        <f t="shared" si="33"/>
        <v>586.55999999999995</v>
      </c>
      <c r="J131" s="118" t="s">
        <v>191</v>
      </c>
      <c r="K131" s="190">
        <v>0</v>
      </c>
      <c r="L131" s="189"/>
      <c r="M131" s="190">
        <v>1</v>
      </c>
      <c r="N131" s="189"/>
      <c r="O131" s="190">
        <v>0</v>
      </c>
      <c r="P131" s="189"/>
      <c r="Q131" s="190">
        <v>0</v>
      </c>
      <c r="R131" s="189"/>
      <c r="S131" s="216">
        <f t="shared" si="14"/>
        <v>1</v>
      </c>
      <c r="T131" s="75"/>
      <c r="U131" s="111"/>
    </row>
    <row r="132" spans="1:21">
      <c r="A132" s="114" t="s">
        <v>367</v>
      </c>
      <c r="B132" s="115" t="s">
        <v>251</v>
      </c>
      <c r="C132" s="5"/>
      <c r="D132" s="116" t="s">
        <v>190</v>
      </c>
      <c r="E132" s="112">
        <v>1</v>
      </c>
      <c r="F132" s="117">
        <v>16.32</v>
      </c>
      <c r="G132" s="124">
        <f>BDI!$B$23</f>
        <v>0.24873184530590153</v>
      </c>
      <c r="H132" s="119">
        <f t="shared" ref="H132:H134" si="34">TRUNC(F132*(1+G132),2)</f>
        <v>20.37</v>
      </c>
      <c r="I132" s="117">
        <f t="shared" si="33"/>
        <v>20.37</v>
      </c>
      <c r="J132" s="118" t="s">
        <v>250</v>
      </c>
      <c r="K132" s="190">
        <v>0</v>
      </c>
      <c r="L132" s="189"/>
      <c r="M132" s="190"/>
      <c r="N132" s="189"/>
      <c r="O132" s="190">
        <v>0</v>
      </c>
      <c r="P132" s="189"/>
      <c r="Q132" s="190">
        <v>1</v>
      </c>
      <c r="R132" s="189"/>
      <c r="S132" s="216">
        <f t="shared" si="14"/>
        <v>1</v>
      </c>
      <c r="T132" s="75"/>
    </row>
    <row r="133" spans="1:21" s="221" customFormat="1">
      <c r="A133" s="114" t="s">
        <v>368</v>
      </c>
      <c r="B133" s="115" t="s">
        <v>252</v>
      </c>
      <c r="C133" s="5"/>
      <c r="D133" s="116" t="s">
        <v>190</v>
      </c>
      <c r="E133" s="112">
        <v>1</v>
      </c>
      <c r="F133" s="117">
        <v>41.39</v>
      </c>
      <c r="G133" s="124">
        <f>BDI!$B$23</f>
        <v>0.24873184530590153</v>
      </c>
      <c r="H133" s="119">
        <f t="shared" si="34"/>
        <v>51.68</v>
      </c>
      <c r="I133" s="117">
        <f t="shared" si="33"/>
        <v>51.68</v>
      </c>
      <c r="J133" s="118" t="s">
        <v>253</v>
      </c>
      <c r="K133" s="190">
        <v>0</v>
      </c>
      <c r="L133" s="189"/>
      <c r="M133" s="190"/>
      <c r="N133" s="189"/>
      <c r="O133" s="190">
        <v>0</v>
      </c>
      <c r="P133" s="189"/>
      <c r="Q133" s="190">
        <v>1</v>
      </c>
      <c r="R133" s="189"/>
      <c r="S133" s="216">
        <f t="shared" si="14"/>
        <v>1</v>
      </c>
      <c r="T133" s="219"/>
      <c r="U133" s="220">
        <f>SUM(L138+N138+P138+R138)</f>
        <v>1.6568280396001604E-7</v>
      </c>
    </row>
    <row r="134" spans="1:21" ht="30">
      <c r="A134" s="114" t="s">
        <v>369</v>
      </c>
      <c r="B134" s="115" t="s">
        <v>373</v>
      </c>
      <c r="C134" s="5"/>
      <c r="D134" s="116" t="s">
        <v>374</v>
      </c>
      <c r="E134" s="112">
        <v>10</v>
      </c>
      <c r="F134" s="126">
        <v>1.1000000000000001</v>
      </c>
      <c r="G134" s="124">
        <f>BDI!$B$23</f>
        <v>0.24873184530590153</v>
      </c>
      <c r="H134" s="119">
        <f t="shared" si="34"/>
        <v>1.37</v>
      </c>
      <c r="I134" s="117">
        <f t="shared" si="33"/>
        <v>13.7</v>
      </c>
      <c r="J134" s="118" t="s">
        <v>372</v>
      </c>
      <c r="K134" s="190">
        <v>0</v>
      </c>
      <c r="L134" s="189"/>
      <c r="M134" s="190"/>
      <c r="N134" s="189"/>
      <c r="O134" s="190">
        <v>0</v>
      </c>
      <c r="P134" s="189"/>
      <c r="Q134" s="190">
        <v>1</v>
      </c>
      <c r="R134" s="189"/>
      <c r="S134" s="216">
        <f t="shared" si="14"/>
        <v>1</v>
      </c>
    </row>
    <row r="135" spans="1:21">
      <c r="A135" s="114" t="s">
        <v>370</v>
      </c>
      <c r="B135" s="115" t="s">
        <v>196</v>
      </c>
      <c r="C135" s="5"/>
      <c r="D135" s="116" t="s">
        <v>13</v>
      </c>
      <c r="E135" s="112">
        <v>215.07</v>
      </c>
      <c r="F135" s="117">
        <v>1.78</v>
      </c>
      <c r="G135" s="124">
        <f>BDI!$B$23</f>
        <v>0.24873184530590153</v>
      </c>
      <c r="H135" s="119">
        <f>TRUNC(F135*(1+G135),2)</f>
        <v>2.2200000000000002</v>
      </c>
      <c r="I135" s="117">
        <f>TRUNC(E135*H135,2)</f>
        <v>477.45</v>
      </c>
      <c r="J135" s="118" t="s">
        <v>195</v>
      </c>
      <c r="K135" s="190">
        <v>0</v>
      </c>
      <c r="L135" s="189"/>
      <c r="M135" s="190"/>
      <c r="N135" s="189"/>
      <c r="O135" s="190">
        <v>0</v>
      </c>
      <c r="P135" s="189"/>
      <c r="Q135" s="190">
        <v>1</v>
      </c>
      <c r="R135" s="189"/>
      <c r="S135" s="216">
        <f t="shared" si="14"/>
        <v>1</v>
      </c>
    </row>
    <row r="136" spans="1:21">
      <c r="A136" s="121"/>
      <c r="B136" s="11"/>
      <c r="C136" s="12"/>
      <c r="D136" s="13"/>
      <c r="E136" s="14"/>
      <c r="F136" s="14"/>
      <c r="G136" s="14"/>
      <c r="H136" s="14"/>
      <c r="I136" s="14"/>
      <c r="J136" s="14"/>
      <c r="K136" s="192"/>
      <c r="L136" s="189"/>
      <c r="M136" s="192"/>
      <c r="N136" s="193"/>
      <c r="O136" s="192"/>
      <c r="P136" s="193"/>
      <c r="Q136" s="192"/>
      <c r="R136" s="193"/>
    </row>
    <row r="137" spans="1:21">
      <c r="A137" s="63"/>
      <c r="B137" s="64"/>
      <c r="C137" s="65"/>
      <c r="D137" s="66"/>
      <c r="E137" s="67"/>
      <c r="F137" s="67"/>
      <c r="G137" s="67"/>
      <c r="H137" s="67"/>
      <c r="I137" s="67"/>
      <c r="J137" s="67"/>
      <c r="K137" s="191"/>
      <c r="L137" s="233">
        <f>SUM(L12:L136)</f>
        <v>0</v>
      </c>
      <c r="M137" s="191"/>
      <c r="N137" s="233">
        <f>SUM(N12:N136)</f>
        <v>0</v>
      </c>
      <c r="O137" s="191"/>
      <c r="P137" s="233">
        <f>SUM(P12:P136)</f>
        <v>0</v>
      </c>
      <c r="Q137" s="191"/>
      <c r="R137" s="233">
        <f>SUM(R12:R136)+0.04</f>
        <v>0.04</v>
      </c>
    </row>
    <row r="138" spans="1:21">
      <c r="A138" s="41" t="s">
        <v>131</v>
      </c>
      <c r="B138" s="42" t="s">
        <v>158</v>
      </c>
      <c r="C138" s="43"/>
      <c r="D138" s="44" t="s">
        <v>67</v>
      </c>
      <c r="E138" s="52"/>
      <c r="F138" s="53"/>
      <c r="G138" s="53"/>
      <c r="H138" s="54"/>
      <c r="I138" s="45">
        <f>I9+I18+I26+I28+I37+I42+I49+I55+I87+I113+I119+I122+I129</f>
        <v>241425.17535889323</v>
      </c>
      <c r="J138" s="46"/>
      <c r="K138" s="200"/>
      <c r="L138" s="231">
        <f>L137/$I138</f>
        <v>0</v>
      </c>
      <c r="M138" s="200"/>
      <c r="N138" s="231">
        <f>N137/$I138</f>
        <v>0</v>
      </c>
      <c r="O138" s="200"/>
      <c r="P138" s="231">
        <f>P137/$I138</f>
        <v>0</v>
      </c>
      <c r="Q138" s="200"/>
      <c r="R138" s="231">
        <f>R137/$I138</f>
        <v>1.6568280396001604E-7</v>
      </c>
      <c r="T138" s="217">
        <f>I138/I$138</f>
        <v>1</v>
      </c>
      <c r="U138" s="230">
        <f>SUM(T9:T129)</f>
        <v>0.99999999999999989</v>
      </c>
    </row>
    <row r="139" spans="1:21">
      <c r="T139" s="232">
        <f>L138+N138+P138+R138</f>
        <v>1.6568280396001604E-7</v>
      </c>
    </row>
    <row r="140" spans="1:21">
      <c r="I140" s="79">
        <f>L137+N137+P137+R137</f>
        <v>0.04</v>
      </c>
      <c r="T140" s="230">
        <f>T138-T139</f>
        <v>0.99999983431719608</v>
      </c>
    </row>
    <row r="141" spans="1:21">
      <c r="I141" s="79"/>
      <c r="T141" s="237">
        <f>T140*I138</f>
        <v>241425.13535889325</v>
      </c>
    </row>
  </sheetData>
  <mergeCells count="6">
    <mergeCell ref="A2:R2"/>
    <mergeCell ref="B3:K3"/>
    <mergeCell ref="K7:L7"/>
    <mergeCell ref="M7:N7"/>
    <mergeCell ref="O7:P7"/>
    <mergeCell ref="Q7:R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70</vt:i4>
      </vt:variant>
    </vt:vector>
  </HeadingPairs>
  <TitlesOfParts>
    <vt:vector size="77" baseType="lpstr">
      <vt:lpstr>ORÇ</vt:lpstr>
      <vt:lpstr>BDI</vt:lpstr>
      <vt:lpstr>CRONOGRAMA</vt:lpstr>
      <vt:lpstr>COMPOSIÇÕES</vt:lpstr>
      <vt:lpstr>Estimativa As Built</vt:lpstr>
      <vt:lpstr>Plan modelo</vt:lpstr>
      <vt:lpstr>Crono modelo</vt:lpstr>
      <vt:lpstr>BDI!_ftn1</vt:lpstr>
      <vt:lpstr>BDI!_ftnref1</vt:lpstr>
      <vt:lpstr>BDI!_Ref414871857</vt:lpstr>
      <vt:lpstr>BDI!Area_de_impressao</vt:lpstr>
      <vt:lpstr>COMPOSIÇÕES!Area_de_impressao</vt:lpstr>
      <vt:lpstr>CRONOGRAMA!Area_de_impressao</vt:lpstr>
      <vt:lpstr>'Estimativa As Built'!Area_de_impressao</vt:lpstr>
      <vt:lpstr>ORÇ!Area_de_impressao</vt:lpstr>
      <vt:lpstr>ORÇ!Tabela_de_acessório_de_tubo</vt:lpstr>
      <vt:lpstr>'Crono modelo'!Tabela_de_acessório_de_tubo_1</vt:lpstr>
      <vt:lpstr>CRONOGRAMA!Tabela_de_acessório_de_tubo_1</vt:lpstr>
      <vt:lpstr>ORÇ!Tabela_de_bancadas</vt:lpstr>
      <vt:lpstr>'Crono modelo'!Tabela_de_bancadas_1</vt:lpstr>
      <vt:lpstr>CRONOGRAMA!Tabela_de_bancadas_1</vt:lpstr>
      <vt:lpstr>'Crono modelo'!Tabela_de_conexões_de_tubos</vt:lpstr>
      <vt:lpstr>CRONOGRAMA!Tabela_de_conexões_de_tubos</vt:lpstr>
      <vt:lpstr>ORÇ!Tabela_de_conexões_de_tubos</vt:lpstr>
      <vt:lpstr>'Plan modelo'!Tabela_de_conexões_de_tubos</vt:lpstr>
      <vt:lpstr>'Crono modelo'!Tabela_de_conexões_de_tubos_1</vt:lpstr>
      <vt:lpstr>CRONOGRAMA!Tabela_de_conexões_de_tubos_1</vt:lpstr>
      <vt:lpstr>'Crono modelo'!Tabela_de_conexões_de_tubos_2</vt:lpstr>
      <vt:lpstr>CRONOGRAMA!Tabela_de_conexões_de_tubos_2</vt:lpstr>
      <vt:lpstr>'Crono modelo'!Tabela_de_janela</vt:lpstr>
      <vt:lpstr>CRONOGRAMA!Tabela_de_janela</vt:lpstr>
      <vt:lpstr>ORÇ!Tabela_de_janela</vt:lpstr>
      <vt:lpstr>'Plan modelo'!Tabela_de_janela</vt:lpstr>
      <vt:lpstr>'Crono modelo'!Tabela_de_janela_1</vt:lpstr>
      <vt:lpstr>CRONOGRAMA!Tabela_de_janela_1</vt:lpstr>
      <vt:lpstr>'Crono modelo'!Tabela_de_janela_2</vt:lpstr>
      <vt:lpstr>CRONOGRAMA!Tabela_de_janela_2</vt:lpstr>
      <vt:lpstr>'Crono modelo'!Tabela_de_material_hidráulico</vt:lpstr>
      <vt:lpstr>CRONOGRAMA!Tabela_de_material_hidráulico</vt:lpstr>
      <vt:lpstr>ORÇ!Tabela_de_material_hidráulico</vt:lpstr>
      <vt:lpstr>'Plan modelo'!Tabela_de_material_hidráulico</vt:lpstr>
      <vt:lpstr>'Crono modelo'!Tabela_de_material_hidráulico_1</vt:lpstr>
      <vt:lpstr>CRONOGRAMA!Tabela_de_material_hidráulico_1</vt:lpstr>
      <vt:lpstr>ORÇ!Tabela_de_material_hidráulico_2</vt:lpstr>
      <vt:lpstr>'Crono modelo'!Tabela_de_material_hidráulico_2_1</vt:lpstr>
      <vt:lpstr>CRONOGRAMA!Tabela_de_material_hidráulico_2_1</vt:lpstr>
      <vt:lpstr>'Crono modelo'!Tabela_de_parede</vt:lpstr>
      <vt:lpstr>CRONOGRAMA!Tabela_de_parede</vt:lpstr>
      <vt:lpstr>ORÇ!Tabela_de_parede</vt:lpstr>
      <vt:lpstr>'Plan modelo'!Tabela_de_parede</vt:lpstr>
      <vt:lpstr>'Crono modelo'!Tabela_de_parede_1</vt:lpstr>
      <vt:lpstr>CRONOGRAMA!Tabela_de_parede_1</vt:lpstr>
      <vt:lpstr>'Crono modelo'!Tabela_de_parede_2</vt:lpstr>
      <vt:lpstr>CRONOGRAMA!Tabela_de_parede_2</vt:lpstr>
      <vt:lpstr>'Crono modelo'!Tabela_de_piso</vt:lpstr>
      <vt:lpstr>CRONOGRAMA!Tabela_de_piso</vt:lpstr>
      <vt:lpstr>ORÇ!Tabela_de_piso</vt:lpstr>
      <vt:lpstr>'Plan modelo'!Tabela_de_piso</vt:lpstr>
      <vt:lpstr>'Crono modelo'!Tabela_de_piso_1</vt:lpstr>
      <vt:lpstr>CRONOGRAMA!Tabela_de_piso_1</vt:lpstr>
      <vt:lpstr>'Crono modelo'!Tabela_de_piso_2</vt:lpstr>
      <vt:lpstr>CRONOGRAMA!Tabela_de_piso_2</vt:lpstr>
      <vt:lpstr>'Crono modelo'!Tabela_de_porta</vt:lpstr>
      <vt:lpstr>CRONOGRAMA!Tabela_de_porta</vt:lpstr>
      <vt:lpstr>ORÇ!Tabela_de_porta</vt:lpstr>
      <vt:lpstr>'Plan modelo'!Tabela_de_porta</vt:lpstr>
      <vt:lpstr>'Crono modelo'!Tabela_de_porta_1</vt:lpstr>
      <vt:lpstr>CRONOGRAMA!Tabela_de_porta_1</vt:lpstr>
      <vt:lpstr>'Crono modelo'!Tabela_de_tubos</vt:lpstr>
      <vt:lpstr>CRONOGRAMA!Tabela_de_tubos</vt:lpstr>
      <vt:lpstr>ORÇ!Tabela_de_tubos</vt:lpstr>
      <vt:lpstr>'Plan modelo'!Tabela_de_tubos</vt:lpstr>
      <vt:lpstr>'Crono modelo'!Tabela_de_tubos_1</vt:lpstr>
      <vt:lpstr>CRONOGRAMA!Tabela_de_tubos_1</vt:lpstr>
      <vt:lpstr>'Crono modelo'!Tabela_de_tubos_2</vt:lpstr>
      <vt:lpstr>CRONOGRAMA!Tabela_de_tubos_2</vt:lpstr>
      <vt:lpstr>COMPOSIÇÕES!Titulos_de_impressao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Família</dc:creator>
  <cp:lastModifiedBy>tr18394ps</cp:lastModifiedBy>
  <cp:lastPrinted>2016-02-03T19:53:20Z</cp:lastPrinted>
  <dcterms:created xsi:type="dcterms:W3CDTF">2015-10-13T15:08:00Z</dcterms:created>
  <dcterms:modified xsi:type="dcterms:W3CDTF">2016-07-18T22:04:43Z</dcterms:modified>
</cp:coreProperties>
</file>